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6345" tabRatio="905"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29" i="4" l="1"/>
  <c r="G43" i="4"/>
  <c r="H98" i="4"/>
  <c r="F72" i="4"/>
  <c r="F55" i="4"/>
  <c r="S43" i="4"/>
  <c r="G29" i="4"/>
  <c r="F85" i="4" l="1"/>
  <c r="C85" i="4"/>
  <c r="E29" i="4"/>
  <c r="F80" i="4"/>
  <c r="G47" i="4"/>
  <c r="G44" i="4"/>
  <c r="H28" i="4"/>
  <c r="H43" i="4"/>
  <c r="D28" i="4" l="1"/>
  <c r="W838" i="3" l="1"/>
  <c r="W826" i="3"/>
  <c r="A3" i="15" l="1"/>
  <c r="AN929" i="3" l="1"/>
  <c r="AD64" i="15" l="1"/>
  <c r="A61" i="15" l="1"/>
  <c r="AD67" i="15" l="1"/>
  <c r="Y67" i="15"/>
  <c r="T11" i="4" l="1"/>
  <c r="H11" i="13" s="1"/>
  <c r="R10" i="4"/>
  <c r="R88" i="4"/>
  <c r="R81" i="4"/>
  <c r="T25" i="15"/>
  <c r="AI7" i="15" s="1"/>
  <c r="AG428" i="3"/>
  <c r="AG431" i="3"/>
  <c r="B58" i="4"/>
  <c r="C77" i="11"/>
  <c r="C78" i="11"/>
  <c r="B77" i="11"/>
  <c r="B78" i="11"/>
  <c r="B79"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G63" i="13" s="1"/>
  <c r="G96" i="13" s="1"/>
  <c r="G105" i="13" s="1"/>
  <c r="G107" i="13" s="1"/>
  <c r="D25" i="13"/>
  <c r="C25" i="13"/>
  <c r="J11" i="13"/>
  <c r="D11" i="13"/>
  <c r="C11" i="13"/>
  <c r="C8" i="13"/>
  <c r="D8" i="13"/>
  <c r="D63" i="13" s="1"/>
  <c r="D96" i="13" s="1"/>
  <c r="D105" i="13" s="1"/>
  <c r="T104" i="4"/>
  <c r="H104" i="13" s="1"/>
  <c r="R103" i="4"/>
  <c r="R102" i="4"/>
  <c r="R101" i="4"/>
  <c r="R100" i="4"/>
  <c r="R99"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1" i="4"/>
  <c r="R39" i="4"/>
  <c r="R38" i="4"/>
  <c r="R35" i="4"/>
  <c r="R34" i="4"/>
  <c r="R33" i="4"/>
  <c r="R32" i="4"/>
  <c r="R31" i="4"/>
  <c r="R30" i="4"/>
  <c r="R29" i="4"/>
  <c r="R28" i="4"/>
  <c r="R26" i="4"/>
  <c r="R24" i="4"/>
  <c r="R23" i="4"/>
  <c r="R22" i="4"/>
  <c r="R21" i="4"/>
  <c r="R20" i="4"/>
  <c r="R19" i="4"/>
  <c r="R18" i="4"/>
  <c r="R17" i="4"/>
  <c r="R15" i="4"/>
  <c r="R14" i="4"/>
  <c r="R13" i="4"/>
  <c r="R9" i="4"/>
  <c r="R7" i="4"/>
  <c r="R6" i="4"/>
  <c r="R5" i="4"/>
  <c r="R4" i="4"/>
  <c r="AD991" i="3"/>
  <c r="B5" i="11"/>
  <c r="C5" i="11"/>
  <c r="B6" i="11"/>
  <c r="C6" i="11"/>
  <c r="B7" i="11"/>
  <c r="C7" i="11"/>
  <c r="C8" i="11"/>
  <c r="B8" i="11"/>
  <c r="B10" i="11"/>
  <c r="B11" i="11"/>
  <c r="C10" i="11"/>
  <c r="C11" i="11"/>
  <c r="C12" i="11" s="1"/>
  <c r="B14" i="11"/>
  <c r="C14" i="11"/>
  <c r="B15" i="11"/>
  <c r="C15" i="11"/>
  <c r="B16" i="11"/>
  <c r="C16" i="11"/>
  <c r="B18" i="11"/>
  <c r="C18" i="11"/>
  <c r="B19" i="11"/>
  <c r="C19" i="11"/>
  <c r="D19" i="11" s="1"/>
  <c r="B20" i="11"/>
  <c r="C20" i="11"/>
  <c r="B21" i="11"/>
  <c r="C21" i="11"/>
  <c r="B22" i="11"/>
  <c r="C22" i="11"/>
  <c r="B23" i="11"/>
  <c r="C23" i="11"/>
  <c r="B24" i="11"/>
  <c r="D24" i="11" s="1"/>
  <c r="C24" i="11"/>
  <c r="B25" i="11"/>
  <c r="C25" i="11"/>
  <c r="D25" i="11"/>
  <c r="B27" i="11"/>
  <c r="C27" i="11"/>
  <c r="B29" i="11"/>
  <c r="B30" i="11"/>
  <c r="B31" i="11"/>
  <c r="B32" i="11"/>
  <c r="B33" i="11"/>
  <c r="B34" i="11"/>
  <c r="B35" i="11"/>
  <c r="D35" i="11" s="1"/>
  <c r="B36" i="11"/>
  <c r="C29" i="11"/>
  <c r="D29" i="11" s="1"/>
  <c r="C30" i="11"/>
  <c r="D30" i="11" s="1"/>
  <c r="C31" i="11"/>
  <c r="C32" i="11"/>
  <c r="C33" i="11"/>
  <c r="C34" i="11"/>
  <c r="C35" i="11"/>
  <c r="C36" i="11"/>
  <c r="D36" i="11"/>
  <c r="B39" i="11"/>
  <c r="C39" i="11"/>
  <c r="C40" i="11"/>
  <c r="B40" i="11"/>
  <c r="D40" i="11" s="1"/>
  <c r="B42" i="11"/>
  <c r="C42" i="11"/>
  <c r="D42" i="11" s="1"/>
  <c r="B44" i="11"/>
  <c r="C44" i="11"/>
  <c r="B45" i="11"/>
  <c r="C45" i="11"/>
  <c r="B46" i="11"/>
  <c r="B47" i="11"/>
  <c r="B48" i="11"/>
  <c r="B49" i="11"/>
  <c r="B50" i="11"/>
  <c r="B51" i="11"/>
  <c r="B52" i="11"/>
  <c r="B53" i="11"/>
  <c r="C46" i="11"/>
  <c r="C47" i="11"/>
  <c r="C48" i="11"/>
  <c r="D48" i="11" s="1"/>
  <c r="C49" i="11"/>
  <c r="D49" i="11" s="1"/>
  <c r="C50" i="11"/>
  <c r="D50" i="11" s="1"/>
  <c r="C51" i="11"/>
  <c r="D51" i="11" s="1"/>
  <c r="C52" i="11"/>
  <c r="D52" i="11" s="1"/>
  <c r="C53" i="11"/>
  <c r="B56" i="11"/>
  <c r="C56" i="11"/>
  <c r="B57" i="11"/>
  <c r="C57" i="11"/>
  <c r="B58" i="11"/>
  <c r="D58" i="11" s="1"/>
  <c r="C58" i="11"/>
  <c r="B59" i="11"/>
  <c r="C59" i="11"/>
  <c r="D59" i="11" s="1"/>
  <c r="B60" i="11"/>
  <c r="C60" i="11"/>
  <c r="B61" i="11"/>
  <c r="C61" i="11"/>
  <c r="B62" i="11"/>
  <c r="C62" i="11"/>
  <c r="D62" i="11"/>
  <c r="B66" i="11"/>
  <c r="B68" i="11" s="1"/>
  <c r="B67" i="11"/>
  <c r="C66" i="11"/>
  <c r="C67" i="11"/>
  <c r="C68" i="11" s="1"/>
  <c r="B70" i="11"/>
  <c r="C70" i="11"/>
  <c r="B71" i="11"/>
  <c r="C71" i="11"/>
  <c r="B72" i="11"/>
  <c r="D72" i="11" s="1"/>
  <c r="C72" i="11"/>
  <c r="B73" i="11"/>
  <c r="C73" i="11"/>
  <c r="B74" i="11"/>
  <c r="D74" i="11" s="1"/>
  <c r="C74" i="11"/>
  <c r="B81" i="11"/>
  <c r="C81" i="11"/>
  <c r="B82" i="11"/>
  <c r="C82" i="11"/>
  <c r="C83" i="11"/>
  <c r="D83" i="11" s="1"/>
  <c r="C84" i="11"/>
  <c r="C85" i="11"/>
  <c r="C86" i="11"/>
  <c r="C87" i="11"/>
  <c r="D87" i="11" s="1"/>
  <c r="C88" i="11"/>
  <c r="C89" i="11"/>
  <c r="C90" i="11"/>
  <c r="C91" i="11"/>
  <c r="C92" i="11"/>
  <c r="C93" i="11"/>
  <c r="C94" i="11"/>
  <c r="C95" i="11"/>
  <c r="B83" i="11"/>
  <c r="B84" i="11"/>
  <c r="B85" i="11"/>
  <c r="B86" i="11"/>
  <c r="B87" i="11"/>
  <c r="B88" i="11"/>
  <c r="B89" i="11"/>
  <c r="B90" i="11"/>
  <c r="B91" i="11"/>
  <c r="D91" i="11"/>
  <c r="B92" i="11"/>
  <c r="B93" i="11"/>
  <c r="B94" i="11"/>
  <c r="B95" i="11"/>
  <c r="D95" i="11" s="1"/>
  <c r="B99" i="11"/>
  <c r="C99"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B40" i="4" s="1"/>
  <c r="D53" i="4"/>
  <c r="D62" i="4"/>
  <c r="D67" i="4"/>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c r="I8" i="4"/>
  <c r="I11" i="4"/>
  <c r="I12" i="4" s="1"/>
  <c r="J8" i="4"/>
  <c r="J11" i="4"/>
  <c r="J25" i="4"/>
  <c r="J36" i="4"/>
  <c r="J40" i="4"/>
  <c r="J53" i="4"/>
  <c r="J62" i="4"/>
  <c r="J67" i="4"/>
  <c r="J74" i="4"/>
  <c r="J95" i="4"/>
  <c r="J104" i="4"/>
  <c r="K8" i="4"/>
  <c r="K11" i="4"/>
  <c r="L8" i="4"/>
  <c r="L11" i="4"/>
  <c r="L12" i="4" s="1"/>
  <c r="M8" i="4"/>
  <c r="M11" i="4"/>
  <c r="N8" i="4"/>
  <c r="O8" i="4"/>
  <c r="Q8" i="4"/>
  <c r="Q12" i="4" s="1"/>
  <c r="Q11" i="4"/>
  <c r="B9" i="4"/>
  <c r="B10" i="4"/>
  <c r="E11" i="4"/>
  <c r="F11" i="4"/>
  <c r="F25" i="4"/>
  <c r="F36" i="4"/>
  <c r="F40" i="4"/>
  <c r="F62" i="4"/>
  <c r="N11" i="4"/>
  <c r="N63" i="4" s="1"/>
  <c r="N96" i="4" s="1"/>
  <c r="N105" i="4" s="1"/>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F43" i="4" s="1"/>
  <c r="F53" i="4" s="1"/>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F98" i="4" s="1"/>
  <c r="F104" i="4" s="1"/>
  <c r="B99" i="4"/>
  <c r="B100" i="4"/>
  <c r="B101" i="4"/>
  <c r="B102" i="4"/>
  <c r="B103" i="4"/>
  <c r="E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23" i="11"/>
  <c r="D94" i="11"/>
  <c r="D67" i="11"/>
  <c r="D6" i="11"/>
  <c r="D32" i="11"/>
  <c r="D15" i="11"/>
  <c r="D71" i="11"/>
  <c r="D18" i="11"/>
  <c r="D102" i="11"/>
  <c r="D60" i="11"/>
  <c r="D8" i="11"/>
  <c r="D56" i="11"/>
  <c r="D53" i="11"/>
  <c r="D10" i="11"/>
  <c r="D101" i="11"/>
  <c r="D90" i="11"/>
  <c r="B75" i="11"/>
  <c r="D70" i="11"/>
  <c r="D57" i="11"/>
  <c r="AG432" i="3"/>
  <c r="AI27" i="15" s="1"/>
  <c r="C105" i="11"/>
  <c r="D100" i="11"/>
  <c r="D82" i="11"/>
  <c r="L63" i="4"/>
  <c r="L96" i="4" s="1"/>
  <c r="L105" i="4" s="1"/>
  <c r="D46" i="11"/>
  <c r="D12" i="13"/>
  <c r="J12" i="4"/>
  <c r="D77" i="11"/>
  <c r="B9" i="11"/>
  <c r="D20" i="11"/>
  <c r="D5" i="11"/>
  <c r="D14" i="11"/>
  <c r="B11" i="13"/>
  <c r="AI710" i="3" l="1"/>
  <c r="R43" i="4"/>
  <c r="R53" i="4" s="1"/>
  <c r="R98" i="4"/>
  <c r="R104" i="4" s="1"/>
  <c r="D86" i="11"/>
  <c r="D99" i="11"/>
  <c r="B104" i="4"/>
  <c r="D81" i="11"/>
  <c r="M63" i="4"/>
  <c r="M96" i="4" s="1"/>
  <c r="M105" i="4" s="1"/>
  <c r="O63" i="4"/>
  <c r="O96" i="4" s="1"/>
  <c r="O105" i="4" s="1"/>
  <c r="K12" i="4"/>
  <c r="D73" i="11"/>
  <c r="C63" i="11"/>
  <c r="B41" i="11"/>
  <c r="D34" i="11"/>
  <c r="D22" i="11"/>
  <c r="P63" i="4"/>
  <c r="P96" i="4" s="1"/>
  <c r="P105" i="4" s="1"/>
  <c r="N12" i="4"/>
  <c r="I63" i="13"/>
  <c r="I96" i="13" s="1"/>
  <c r="I105" i="13" s="1"/>
  <c r="I107" i="13" s="1"/>
  <c r="G63" i="4"/>
  <c r="G96" i="4" s="1"/>
  <c r="G105" i="4" s="1"/>
  <c r="I63" i="4"/>
  <c r="I96" i="4" s="1"/>
  <c r="I105" i="4" s="1"/>
  <c r="Q63" i="4"/>
  <c r="Q96" i="4" s="1"/>
  <c r="Q105" i="4" s="1"/>
  <c r="B11" i="4"/>
  <c r="M38" i="7"/>
  <c r="D89" i="11"/>
  <c r="D85" i="11"/>
  <c r="C41" i="11"/>
  <c r="D41" i="11" s="1"/>
  <c r="J63" i="13"/>
  <c r="J96" i="13" s="1"/>
  <c r="J105" i="13" s="1"/>
  <c r="J107" i="13" s="1"/>
  <c r="F63" i="13"/>
  <c r="F96" i="13" s="1"/>
  <c r="F105" i="13" s="1"/>
  <c r="F107" i="13" s="1"/>
  <c r="D78" i="11"/>
  <c r="R11" i="4"/>
  <c r="D92" i="11"/>
  <c r="D88" i="11"/>
  <c r="D47" i="11"/>
  <c r="D27" i="11"/>
  <c r="D16" i="11"/>
  <c r="D7" i="11"/>
  <c r="R40" i="4"/>
  <c r="C12" i="13"/>
  <c r="C63" i="13"/>
  <c r="C96" i="13" s="1"/>
  <c r="C105" i="13" s="1"/>
  <c r="S63" i="4"/>
  <c r="E63" i="13" s="1"/>
  <c r="D21" i="11"/>
  <c r="J63" i="4"/>
  <c r="J96" i="4" s="1"/>
  <c r="J105" i="4" s="1"/>
  <c r="R36" i="4"/>
  <c r="B36" i="4"/>
  <c r="C37" i="11"/>
  <c r="D33" i="11"/>
  <c r="B37" i="11"/>
  <c r="D31" i="11"/>
  <c r="B36" i="13"/>
  <c r="E25" i="13"/>
  <c r="H63" i="4"/>
  <c r="H96" i="4" s="1"/>
  <c r="H105" i="4" s="1"/>
  <c r="D93" i="11"/>
  <c r="D84" i="11"/>
  <c r="C96" i="11"/>
  <c r="R78" i="4"/>
  <c r="C79" i="11"/>
  <c r="D79" i="11" s="1"/>
  <c r="R8" i="4"/>
  <c r="R74" i="4"/>
  <c r="C75" i="11"/>
  <c r="D75" i="11" s="1"/>
  <c r="R67" i="4"/>
  <c r="B67" i="4"/>
  <c r="D68" i="11"/>
  <c r="R62" i="4"/>
  <c r="D61" i="11"/>
  <c r="B63" i="11"/>
  <c r="D63" i="11" s="1"/>
  <c r="C54" i="11"/>
  <c r="B54" i="11"/>
  <c r="D45" i="11"/>
  <c r="D44" i="11"/>
  <c r="F63" i="4"/>
  <c r="F96" i="4" s="1"/>
  <c r="F105" i="4" s="1"/>
  <c r="B25" i="4"/>
  <c r="D63" i="4"/>
  <c r="D96" i="4" s="1"/>
  <c r="D105" i="4" s="1"/>
  <c r="B8" i="4"/>
  <c r="B12" i="4" s="1"/>
  <c r="C9" i="11"/>
  <c r="D9" i="11" s="1"/>
  <c r="F12" i="4"/>
  <c r="B74" i="4"/>
  <c r="AB48" i="15"/>
  <c r="M12" i="4"/>
  <c r="R12" i="4"/>
  <c r="B62" i="4"/>
  <c r="D12" i="4"/>
  <c r="R25" i="4"/>
  <c r="B26" i="11"/>
  <c r="R95" i="4"/>
  <c r="B105" i="11"/>
  <c r="D105" i="11" s="1"/>
  <c r="D66" i="11"/>
  <c r="B53" i="4"/>
  <c r="K63" i="4"/>
  <c r="K96" i="4" s="1"/>
  <c r="K105" i="4" s="1"/>
  <c r="B12" i="11"/>
  <c r="B13"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54" i="11" l="1"/>
  <c r="D12" i="11"/>
  <c r="C13" i="11"/>
  <c r="D13" i="11" s="1"/>
  <c r="S96" i="4"/>
  <c r="E96" i="13" s="1"/>
  <c r="D37" i="11"/>
  <c r="D96" i="11"/>
  <c r="R63" i="4"/>
  <c r="R96" i="4" s="1"/>
  <c r="R105" i="4" s="1"/>
  <c r="B64" i="11"/>
  <c r="B97" i="11" s="1"/>
  <c r="B106" i="11" s="1"/>
  <c r="B63" i="4"/>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88" i="3"/>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M826" i="3" l="1"/>
  <c r="AM829" i="3"/>
  <c r="AM834" i="3" s="1"/>
  <c r="AQ885" i="3"/>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AQ888" i="3" l="1"/>
  <c r="B1012" i="3" s="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<sst xmlns="http://schemas.openxmlformats.org/spreadsheetml/2006/main" count="3624" uniqueCount="1785">
  <si>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</si>
  <si>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</si>
  <si>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</si>
  <si>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</si>
  <si>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</si>
  <si>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</si>
  <si>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</si>
  <si>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</si>
  <si>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</si>
  <si>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</si>
  <si>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</si>
  <si>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</si>
  <si>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</si>
  <si>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</si>
  <si>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</si>
  <si>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</si>
  <si>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</si>
  <si>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</si>
  <si>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</si>
  <si>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</si>
  <si>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</si>
  <si>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</si>
  <si>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</si>
  <si>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</si>
  <si>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</si>
  <si>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</si>
  <si>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</si>
  <si>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</si>
  <si>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</si>
  <si>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</si>
  <si>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</si>
  <si>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</si>
  <si>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</si>
  <si>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</si>
  <si>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</si>
  <si>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</si>
  <si>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</si>
  <si>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</si>
  <si>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</si>
  <si>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</si>
  <si>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</si>
  <si>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</si>
  <si>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</si>
  <si>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</si>
  <si>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</si>
  <si>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</si>
  <si>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</si>
  <si>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</si>
  <si>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</si>
  <si>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</si>
  <si>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</si>
  <si>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</si>
  <si>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</si>
  <si>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</si>
  <si>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</si>
  <si>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</si>
  <si>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</si>
  <si>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</si>
  <si>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</si>
  <si>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</si>
  <si>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</si>
  <si>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</si>
  <si>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</si>
  <si>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</si>
  <si>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</si>
  <si>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</si>
  <si>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</si>
  <si>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</si>
  <si>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</si>
  <si>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</si>
  <si>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</si>
  <si>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</si>
  <si>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</si>
  <si>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</si>
  <si>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</si>
  <si>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</si>
  <si>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</si>
  <si>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</si>
  <si>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</si>
  <si>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</si>
  <si>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</si>
  <si>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</si>
  <si>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</si>
  <si>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</si>
  <si>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</si>
  <si>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</si>
  <si>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</si>
  <si>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</si>
  <si>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</si>
  <si>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</si>
  <si>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</si>
  <si>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</si>
  <si>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</si>
  <si>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</si>
  <si>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</si>
  <si>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</si>
  <si>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</si>
  <si>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</si>
  <si>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</si>
  <si>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</si>
  <si>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</si>
  <si>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</si>
  <si>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</si>
  <si>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</si>
  <si>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</si>
  <si>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</si>
  <si>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</si>
  <si>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</si>
  <si>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</si>
  <si>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</si>
  <si>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</si>
  <si>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</si>
  <si>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</si>
  <si>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</si>
  <si>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</si>
  <si>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</si>
  <si>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</si>
  <si>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</si>
  <si>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</si>
  <si>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</si>
  <si>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</si>
  <si>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</si>
  <si>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</si>
  <si>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</si>
  <si>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</si>
  <si>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</si>
  <si>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</si>
  <si>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</si>
  <si>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</si>
  <si>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</si>
  <si>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</si>
  <si>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</si>
  <si>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</si>
  <si>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</si>
  <si>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</si>
  <si>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</si>
  <si>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</si>
  <si>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</si>
  <si>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</si>
  <si>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</si>
  <si>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</si>
  <si>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</si>
  <si>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</si>
  <si>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</si>
  <si>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</si>
  <si>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</si>
  <si>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</si>
  <si>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</si>
  <si>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</si>
  <si>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</si>
  <si>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</si>
  <si>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</si>
  <si>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</si>
  <si>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</si>
  <si>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</si>
  <si>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</si>
  <si>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</si>
  <si>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</si>
  <si>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</si>
  <si>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</si>
  <si>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</si>
  <si>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</si>
  <si>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</si>
  <si>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</si>
  <si>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</si>
  <si>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</si>
  <si>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</si>
  <si>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</si>
  <si>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</si>
  <si>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</si>
  <si>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</si>
  <si>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</si>
  <si>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</si>
  <si>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</si>
  <si>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</si>
  <si>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</si>
  <si>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</si>
  <si>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</si>
  <si>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</si>
  <si>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</si>
  <si>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</si>
  <si>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</si>
  <si>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</si>
  <si>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</si>
  <si>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</si>
  <si>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</si>
  <si>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</si>
  <si>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</si>
  <si>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</si>
  <si>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</si>
  <si>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</si>
  <si>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</si>
  <si>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</si>
  <si>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</si>
  <si>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</si>
  <si>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</si>
  <si>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</si>
  <si>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</si>
  <si>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</si>
  <si>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</si>
  <si>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</si>
  <si>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</si>
  <si>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</si>
  <si>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</si>
  <si>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</si>
  <si>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</si>
  <si>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</si>
  <si>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</si>
  <si>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</si>
  <si>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</si>
  <si>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</si>
  <si>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</si>
  <si>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</si>
  <si>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</si>
  <si>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</si>
  <si>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</si>
  <si>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</si>
  <si>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</si>
  <si>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</si>
  <si>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</si>
  <si>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</si>
  <si>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</si>
  <si>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</si>
  <si>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</si>
  <si>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</si>
  <si>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</si>
  <si>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</si>
  <si>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</si>
  <si>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</si>
  <si>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</si>
  <si>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</si>
  <si>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</si>
  <si>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</si>
  <si>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</si>
  <si>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</si>
  <si>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</si>
  <si>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</si>
  <si>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</si>
  <si>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</si>
  <si>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</si>
  <si>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</si>
  <si>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</si>
  <si>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</si>
  <si>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</si>
  <si>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</si>
  <si>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</si>
  <si>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</si>
  <si>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</si>
  <si>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</si>
  <si>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</si>
  <si>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</si>
  <si>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</si>
  <si>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</si>
  <si>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</si>
  <si>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</si>
  <si>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</si>
  <si>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</si>
  <si>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</si>
  <si>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</si>
  <si>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</si>
  <si>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</si>
  <si>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</si>
  <si>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</si>
  <si>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</si>
  <si>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</si>
  <si>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</si>
  <si>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</si>
  <si>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</si>
  <si>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</si>
  <si>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</si>
  <si>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</si>
  <si>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</si>
  <si>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</si>
  <si>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</si>
  <si>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</si>
  <si>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</si>
  <si>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</si>
  <si>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</si>
  <si>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</si>
  <si>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</si>
  <si>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</si>
  <si>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</si>
  <si>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</si>
  <si>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</si>
  <si>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</si>
  <si>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</si>
  <si>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</si>
  <si>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</si>
  <si>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</si>
  <si>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</si>
  <si>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</si>
  <si>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</si>
  <si>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</si>
  <si>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</si>
  <si>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</si>
  <si>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</si>
  <si>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</si>
  <si>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</si>
  <si>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</si>
  <si>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</si>
  <si>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</si>
  <si>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</si>
  <si>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</si>
  <si>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</si>
  <si>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</si>
  <si>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</si>
  <si>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</si>
  <si>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</si>
  <si>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</si>
  <si>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</si>
  <si>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</si>
  <si>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</si>
  <si>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</si>
  <si>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</si>
  <si>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</si>
  <si>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</si>
  <si>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</si>
  <si>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</si>
  <si>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</si>
  <si>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</si>
  <si>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</si>
  <si>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</si>
  <si>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</si>
  <si>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</si>
  <si>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</si>
  <si>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</si>
  <si>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</si>
  <si>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</si>
  <si>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</si>
  <si>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</si>
  <si>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</si>
  <si>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</si>
  <si>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</si>
  <si>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</si>
  <si>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</si>
  <si>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</si>
  <si>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</si>
  <si>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</si>
  <si>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</si>
  <si>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</si>
  <si>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</si>
  <si>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</si>
  <si>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</si>
  <si>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</si>
  <si>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</si>
  <si>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</si>
  <si>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</si>
  <si>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</si>
  <si>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</si>
  <si>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</si>
  <si>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</si>
  <si>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</si>
  <si>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</si>
  <si>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</si>
  <si>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</si>
  <si>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</si>
  <si>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</si>
  <si>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</si>
  <si>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</si>
  <si>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</si>
  <si>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</si>
  <si>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</si>
  <si>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</si>
  <si>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</si>
  <si>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</si>
  <si>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</si>
  <si>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</si>
  <si>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</si>
  <si>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</si>
  <si>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</si>
  <si>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</si>
  <si>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</si>
  <si>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</si>
  <si>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</si>
  <si>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</si>
  <si>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</si>
  <si>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</si>
  <si>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</si>
  <si>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</si>
  <si>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</si>
  <si>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</si>
  <si>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</si>
  <si>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</si>
  <si>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</si>
  <si>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</si>
  <si>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</si>
  <si>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</si>
  <si>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</si>
  <si>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</si>
  <si>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</si>
  <si>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</si>
  <si>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</si>
  <si>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</si>
  <si>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</si>
  <si>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</si>
  <si>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</si>
  <si>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</si>
  <si>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</si>
  <si>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</si>
  <si>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</si>
  <si>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</si>
  <si>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</si>
  <si>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</si>
  <si>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</si>
  <si>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</si>
  <si>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</si>
  <si>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</si>
  <si>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</si>
  <si>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</si>
  <si>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</si>
  <si>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</si>
  <si>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</si>
  <si>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</si>
  <si>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</si>
  <si>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</si>
  <si>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</si>
  <si>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</si>
  <si>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</si>
  <si>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</si>
  <si>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</si>
  <si>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</si>
  <si>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</si>
  <si>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</si>
  <si>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</si>
  <si>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</si>
  <si>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</si>
  <si>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</si>
  <si>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</si>
  <si>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</si>
  <si>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</si>
  <si>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</si>
  <si>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</si>
  <si>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</si>
  <si>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</si>
  <si>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</si>
  <si>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</si>
  <si>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</si>
  <si>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</si>
  <si>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</si>
  <si>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</si>
  <si>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</si>
  <si>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</si>
  <si>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</si>
  <si>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</si>
  <si>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</si>
  <si>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</si>
  <si>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</si>
  <si>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</si>
  <si>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</si>
  <si>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</si>
  <si>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</si>
  <si>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</si>
  <si>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</si>
  <si>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</si>
  <si>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</si>
  <si>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</si>
  <si>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</si>
  <si>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</si>
  <si>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</si>
  <si>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</si>
  <si>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</si>
  <si>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</si>
  <si>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</si>
  <si>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</si>
  <si>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</si>
  <si>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</si>
  <si>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</si>
  <si>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</si>
  <si>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</si>
  <si>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</si>
  <si>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</si>
  <si>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</si>
  <si>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</si>
  <si>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</si>
  <si>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</si>
  <si>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</si>
  <si>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</si>
  <si>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</si>
  <si>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</si>
  <si>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</si>
  <si>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</si>
  <si>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</si>
  <si>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</si>
  <si>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</si>
  <si>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</si>
  <si>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</si>
  <si>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</si>
  <si>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</si>
  <si>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</si>
  <si>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</si>
  <si>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</si>
  <si>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</si>
  <si>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</si>
  <si>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</si>
  <si>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</si>
  <si>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</si>
  <si>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</si>
  <si>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</si>
  <si>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</si>
  <si>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</si>
  <si>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</si>
  <si>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</si>
  <si>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</si>
  <si>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</si>
  <si>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</si>
  <si>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</si>
  <si>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</si>
  <si>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</si>
  <si>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</si>
  <si>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</si>
  <si>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</si>
  <si>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</si>
  <si>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</si>
  <si>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</si>
  <si>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</si>
  <si>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</si>
  <si>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</si>
  <si>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</si>
  <si>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</si>
  <si>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</si>
  <si>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</si>
  <si>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</si>
  <si>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</si>
  <si>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</si>
  <si>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</si>
  <si>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</si>
  <si>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</si>
  <si>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</si>
  <si>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</si>
  <si>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</si>
  <si>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</si>
  <si>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</si>
  <si>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</si>
  <si>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</si>
  <si>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</si>
  <si>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</si>
  <si>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</si>
  <si>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</si>
  <si>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</si>
  <si>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</si>
  <si>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</si>
  <si>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</si>
  <si>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</si>
  <si>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</si>
  <si>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</si>
  <si>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</si>
  <si>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</si>
  <si>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</si>
  <si>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</si>
  <si>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</si>
  <si>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</si>
  <si>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</si>
  <si>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</si>
  <si>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</si>
  <si>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</si>
  <si>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</si>
  <si>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</si>
  <si>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</si>
  <si>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</si>
  <si>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</si>
  <si>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</si>
  <si>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</si>
  <si>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</si>
  <si>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</si>
  <si>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</si>
  <si>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</si>
  <si>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</si>
  <si>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</si>
  <si>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</si>
  <si>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</si>
  <si>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</si>
  <si>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</si>
  <si>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</si>
  <si>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</si>
  <si>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</si>
  <si>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</si>
  <si>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</si>
  <si>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</si>
  <si>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</si>
  <si>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</si>
  <si>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</si>
  <si>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</si>
  <si>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</si>
  <si>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</si>
  <si>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</si>
  <si>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</si>
  <si>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</si>
  <si>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</si>
  <si>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</si>
  <si>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</si>
  <si>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</si>
  <si>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</si>
  <si>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</si>
  <si>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</si>
  <si>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</si>
  <si>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</si>
  <si>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</si>
  <si>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</si>
  <si>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</si>
  <si>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</si>
  <si>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</si>
  <si>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</si>
  <si>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</si>
  <si>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</si>
  <si>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</si>
  <si>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</si>
  <si>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</si>
  <si>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</si>
  <si>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</si>
  <si>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</si>
  <si>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</si>
  <si>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</si>
  <si>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</si>
  <si>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</si>
  <si>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</si>
  <si>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</si>
  <si>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</si>
  <si>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</si>
  <si>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</si>
  <si>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</si>
  <si>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</si>
  <si>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</si>
  <si>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</si>
  <si>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</si>
  <si>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</si>
  <si>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</si>
  <si>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</si>
  <si>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</si>
  <si>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</si>
  <si>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</si>
  <si>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</si>
  <si>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</si>
  <si>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</si>
  <si>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</si>
  <si>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</si>
  <si>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</si>
  <si>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</si>
  <si>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</si>
  <si>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</si>
  <si>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</si>
  <si>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</si>
  <si>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</si>
  <si>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</si>
  <si>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</si>
  <si>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</si>
  <si>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</si>
  <si>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</si>
  <si>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</si>
  <si>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</si>
  <si>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</si>
  <si>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</si>
  <si>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</si>
  <si>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</si>
  <si>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</si>
  <si>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</si>
  <si>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</si>
  <si>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</si>
  <si>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</si>
  <si>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</si>
  <si>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</si>
  <si>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</si>
  <si>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</si>
  <si>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</si>
  <si>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</si>
  <si>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</si>
  <si>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</si>
  <si>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</si>
  <si>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</si>
  <si>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</si>
  <si>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</si>
  <si>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</si>
  <si>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</si>
  <si>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</si>
  <si>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</si>
  <si>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</si>
  <si>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</si>
  <si>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</si>
  <si>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</si>
  <si>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</si>
  <si>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</si>
  <si>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</si>
  <si>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</si>
  <si>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</si>
  <si>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</si>
  <si>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</si>
  <si>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</si>
  <si>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</si>
  <si>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</si>
  <si>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</si>
  <si>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</si>
  <si>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</si>
  <si>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</si>
  <si>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</si>
  <si>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</si>
  <si>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</si>
  <si>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</si>
  <si>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</si>
  <si>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</si>
  <si>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</si>
  <si>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</si>
  <si>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</si>
  <si>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</si>
  <si>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</si>
  <si>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</si>
  <si>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</si>
  <si>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</si>
  <si>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</si>
  <si>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</si>
  <si>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</si>
  <si>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</si>
  <si>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</si>
  <si>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</si>
  <si>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</si>
  <si>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</si>
  <si>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</si>
  <si>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</si>
  <si>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</si>
  <si>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</si>
  <si>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</si>
  <si>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</si>
  <si>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</si>
  <si>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</si>
  <si>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</si>
  <si>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</si>
  <si>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</si>
  <si>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</si>
  <si>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</si>
  <si>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</si>
  <si>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</si>
  <si>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</si>
  <si>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</si>
  <si>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</si>
  <si>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</si>
  <si>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</si>
  <si>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</si>
  <si>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</si>
  <si>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</si>
  <si>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</si>
  <si>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</si>
  <si>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</si>
  <si>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</si>
  <si>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</si>
  <si>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</si>
  <si>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</si>
  <si>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</si>
  <si>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</si>
  <si>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</si>
  <si>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</si>
  <si>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</si>
  <si>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</si>
  <si>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</si>
  <si>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</si>
  <si>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</si>
  <si>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</si>
  <si>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</si>
  <si>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</si>
  <si>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</si>
  <si>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</si>
  <si>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</si>
  <si>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</si>
  <si>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</si>
  <si>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</si>
  <si>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</si>
  <si>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</si>
  <si>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</si>
  <si>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</si>
  <si>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</si>
  <si>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</si>
  <si>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</si>
  <si>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</si>
  <si>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</si>
  <si>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</si>
  <si>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</si>
  <si>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</si>
  <si>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</si>
  <si>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</si>
  <si>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</si>
  <si>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</si>
  <si>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</si>
  <si>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</si>
  <si>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</si>
  <si>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</si>
  <si>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</si>
  <si>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</si>
  <si>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</si>
  <si>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</si>
  <si>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</si>
  <si>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</si>
  <si>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</si>
  <si>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</si>
  <si>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</si>
  <si>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</si>
  <si>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</si>
  <si>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</si>
  <si>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</si>
  <si>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</si>
  <si>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</si>
  <si>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</si>
  <si>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</si>
  <si>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</si>
  <si>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</si>
  <si>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</si>
  <si>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</si>
  <si>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</si>
  <si>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</si>
  <si>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</si>
  <si>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</si>
  <si>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</si>
  <si>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</si>
  <si>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</si>
  <si>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</si>
  <si>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</si>
  <si>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</si>
  <si>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</si>
  <si>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</si>
  <si>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</si>
  <si>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</si>
  <si>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</si>
  <si>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</si>
  <si>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</si>
  <si>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</si>
  <si>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</si>
  <si>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</si>
  <si>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</si>
  <si>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</si>
  <si>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</si>
  <si>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</si>
  <si>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</si>
  <si>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</si>
  <si>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</si>
  <si>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</si>
  <si>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</si>
  <si>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</si>
  <si>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</si>
  <si>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</si>
  <si>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</si>
  <si>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</si>
  <si>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</si>
  <si>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</si>
  <si>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</si>
  <si>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</si>
  <si>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</si>
  <si>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</si>
  <si>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</si>
  <si>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</si>
  <si>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</si>
  <si>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</si>
  <si>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</si>
  <si>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</si>
  <si>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</si>
  <si>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</si>
  <si>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</si>
  <si>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</si>
  <si>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</si>
  <si>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</si>
  <si>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</si>
  <si>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</si>
  <si>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</si>
  <si>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</si>
  <si>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</si>
  <si>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</si>
  <si>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</si>
  <si>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</si>
  <si>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</si>
  <si>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</si>
  <si>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</si>
  <si>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</si>
  <si>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</si>
  <si>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</si>
  <si>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</si>
  <si>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</si>
  <si>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</si>
  <si>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</si>
  <si>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</si>
  <si>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</si>
  <si>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</si>
  <si>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</si>
  <si>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</si>
  <si>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</si>
  <si>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</si>
  <si>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</si>
  <si>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</si>
  <si>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</si>
  <si>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</si>
  <si>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</si>
  <si>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</si>
  <si>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</si>
  <si>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</si>
  <si>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</si>
  <si>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</si>
  <si>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</si>
  <si>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</si>
  <si>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</si>
  <si>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</si>
  <si>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</si>
  <si>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</si>
  <si>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</si>
  <si>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</si>
  <si>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</si>
  <si>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</si>
  <si>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</si>
  <si>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</si>
  <si>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</si>
  <si>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</si>
  <si>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</si>
  <si>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</si>
  <si>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</si>
  <si>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</si>
  <si>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</si>
  <si>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</si>
  <si>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</si>
  <si>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</si>
  <si>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</si>
  <si>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</si>
  <si>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</si>
  <si>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</si>
  <si>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</si>
  <si>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</si>
  <si>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</si>
  <si>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</si>
  <si>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</si>
  <si>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</si>
  <si>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</si>
  <si>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</si>
  <si>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</si>
  <si>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</si>
  <si>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</si>
  <si>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</si>
  <si>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</si>
  <si>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</si>
  <si>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</si>
  <si>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</si>
  <si>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</si>
  <si>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</si>
  <si>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</si>
  <si>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</si>
  <si>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</si>
  <si>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</si>
  <si>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</si>
  <si>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</si>
  <si>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</si>
  <si>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</si>
  <si>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</si>
  <si>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</si>
  <si>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</si>
  <si>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</si>
  <si>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</si>
  <si>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</si>
  <si>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</si>
  <si>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</si>
  <si>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</si>
  <si>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</si>
  <si>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</si>
  <si>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</si>
  <si>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</si>
  <si>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</si>
  <si>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</si>
  <si>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</si>
  <si>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</si>
  <si>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</si>
  <si>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</si>
  <si>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</si>
  <si>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</si>
  <si>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</si>
  <si>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</si>
  <si>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</si>
  <si>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</si>
  <si>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</si>
  <si>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</si>
  <si>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</si>
  <si>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</si>
  <si>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</si>
  <si>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</si>
  <si>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</si>
  <si>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</si>
  <si>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</si>
  <si>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</si>
  <si>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</si>
  <si>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</si>
  <si>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</si>
  <si>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</si>
  <si>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</si>
  <si>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</si>
  <si>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</si>
  <si>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</si>
  <si>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</si>
  <si>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</si>
  <si>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</si>
  <si>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</si>
  <si>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</si>
  <si>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</si>
  <si>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</si>
  <si>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</si>
  <si>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</si>
  <si>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</si>
  <si>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</si>
  <si>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</si>
  <si>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</si>
  <si>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</si>
  <si>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</si>
  <si>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</si>
  <si>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</si>
  <si>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</si>
  <si>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</si>
  <si>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</si>
  <si>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</si>
  <si>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</si>
  <si>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</si>
  <si>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</si>
  <si>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</si>
  <si>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</si>
  <si>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</si>
  <si>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</si>
  <si>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</si>
  <si>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</si>
  <si>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</si>
  <si>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</si>
  <si>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</si>
  <si>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</si>
  <si>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</si>
  <si>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</si>
  <si>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</si>
  <si>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</si>
  <si>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</si>
  <si>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</si>
  <si>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</si>
  <si>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</si>
  <si>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</si>
  <si>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</si>
  <si>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</si>
  <si>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</si>
  <si>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</si>
  <si>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</si>
  <si>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</si>
  <si>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</si>
  <si>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</si>
  <si>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</si>
  <si>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</si>
  <si>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</si>
  <si>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</si>
  <si>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</si>
  <si>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</si>
  <si>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</si>
  <si>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</si>
  <si>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</si>
  <si>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</si>
  <si>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</si>
  <si>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</si>
  <si>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</si>
  <si>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</si>
  <si>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</si>
  <si>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</si>
  <si>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</si>
  <si>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</si>
  <si>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</si>
  <si>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</si>
  <si>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</si>
  <si>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</si>
  <si>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</si>
  <si>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</si>
  <si>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</si>
  <si>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</si>
  <si>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</si>
  <si>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</si>
  <si>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</si>
  <si>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</si>
  <si>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</si>
  <si>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</si>
  <si>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</si>
  <si>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</si>
  <si>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</si>
  <si>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</si>
  <si>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</si>
  <si>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</si>
  <si>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</si>
  <si>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</si>
  <si>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</si>
  <si>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</si>
  <si>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</si>
  <si>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</si>
  <si>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</si>
  <si>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</si>
  <si>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</si>
  <si>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</si>
  <si>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</si>
  <si>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</si>
  <si>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</si>
  <si>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</si>
  <si>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</si>
  <si>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</si>
  <si>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</si>
  <si>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</si>
  <si>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</si>
  <si>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</si>
  <si>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</si>
  <si>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</si>
  <si>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</si>
  <si>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</si>
  <si>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</si>
  <si>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</si>
  <si>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</si>
  <si>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</si>
  <si>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</si>
  <si>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</si>
  <si>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</si>
  <si>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</si>
  <si>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</si>
  <si>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</si>
  <si>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</si>
  <si>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</si>
  <si>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</si>
  <si>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</si>
  <si>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</si>
  <si>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</si>
  <si>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</si>
  <si>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</si>
  <si>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</si>
  <si>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</si>
  <si>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</si>
  <si>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</si>
  <si>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</si>
  <si>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</si>
  <si>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</si>
  <si>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</si>
  <si>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</si>
  <si>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</si>
  <si>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</si>
  <si>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</si>
  <si>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</si>
  <si>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</si>
  <si>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</si>
  <si>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</si>
  <si>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</si>
  <si>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</si>
  <si>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</si>
  <si>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</si>
  <si>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</si>
  <si>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</si>
  <si>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</si>
  <si>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</si>
  <si>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</si>
  <si>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</si>
  <si>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</si>
  <si>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</si>
  <si>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</si>
  <si>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</si>
  <si>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</si>
  <si>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</si>
  <si>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</si>
  <si>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</si>
  <si>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</si>
  <si>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</si>
  <si>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</si>
  <si>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</si>
  <si>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</si>
  <si>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</si>
  <si>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</si>
  <si>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</si>
  <si>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</si>
  <si>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</si>
  <si>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</si>
  <si>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</si>
  <si>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</si>
  <si>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</si>
  <si>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</si>
  <si>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</si>
  <si>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</si>
  <si>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</si>
  <si>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</si>
  <si>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</si>
  <si>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</si>
  <si>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</si>
  <si>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</si>
  <si>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</si>
  <si>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</si>
  <si>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</si>
  <si>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</si>
  <si>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</si>
  <si>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</si>
  <si>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</si>
  <si>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</si>
  <si>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</si>
  <si>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</si>
  <si>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</si>
  <si>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</si>
  <si>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</si>
  <si>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</si>
  <si>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</si>
  <si>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</si>
  <si>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</si>
  <si>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</si>
  <si>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</si>
  <si>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</si>
  <si>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</si>
  <si>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</si>
  <si>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</si>
  <si>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</si>
  <si>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</si>
  <si>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</si>
  <si>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</si>
  <si>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</si>
  <si>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</si>
  <si>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</si>
  <si>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</si>
  <si>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</si>
  <si>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</si>
  <si>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</si>
  <si>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</si>
  <si>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</si>
  <si>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</si>
  <si>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</si>
  <si>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</si>
  <si>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</si>
  <si>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</si>
  <si>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</si>
  <si>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</si>
  <si>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</si>
  <si>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</si>
  <si>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</si>
  <si>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</si>
  <si>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</si>
  <si>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</si>
  <si>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</si>
  <si>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</si>
  <si>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</si>
  <si>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</si>
  <si>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</si>
  <si>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</si>
  <si>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</si>
  <si>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</si>
  <si>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</si>
  <si>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</si>
  <si>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</si>
  <si>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</si>
  <si>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</si>
  <si>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</si>
  <si>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</si>
  <si>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</si>
  <si>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</si>
  <si>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</si>
  <si>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</si>
  <si>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</si>
  <si>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</si>
  <si>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</si>
  <si>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</si>
  <si>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</si>
  <si>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</si>
  <si>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</si>
  <si>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</si>
  <si>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</si>
  <si>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</si>
  <si>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</si>
  <si>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</si>
  <si>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</si>
  <si>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</si>
  <si>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</si>
  <si>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</si>
  <si>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</si>
  <si>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</si>
  <si>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</si>
  <si>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</si>
  <si>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</si>
  <si>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</si>
  <si>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</si>
  <si>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</si>
  <si>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</si>
  <si>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</si>
  <si>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</si>
  <si>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</si>
  <si>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</si>
  <si>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</si>
  <si>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</si>
  <si>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</si>
  <si>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</si>
  <si>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</si>
  <si>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</si>
  <si>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</si>
  <si>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</si>
  <si>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</si>
  <si>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</si>
  <si>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</si>
  <si>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</si>
  <si>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</si>
  <si>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</si>
  <si>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</si>
  <si>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</si>
  <si>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</si>
  <si>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</si>
  <si>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</si>
  <si>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</si>
  <si>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</si>
  <si>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</si>
  <si>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</si>
  <si>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</si>
  <si>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</si>
  <si>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</si>
  <si>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</si>
  <si>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</si>
  <si>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</si>
  <si>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</si>
  <si>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</si>
  <si>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</si>
  <si>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</si>
  <si>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</si>
  <si>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</si>
  <si>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</si>
  <si>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</si>
  <si>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</si>
  <si>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</si>
  <si>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</si>
  <si>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</si>
  <si>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</si>
  <si>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</si>
  <si>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</si>
  <si>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</si>
  <si>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</si>
  <si>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</si>
  <si>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</si>
  <si>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</si>
  <si>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</si>
  <si>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</si>
  <si>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</si>
  <si>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</si>
  <si>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</si>
  <si>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</si>
  <si>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</si>
  <si>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</si>
  <si>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</si>
  <si>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</si>
  <si>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</si>
  <si>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</si>
  <si>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</si>
  <si>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</si>
  <si>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</si>
  <si>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</si>
  <si>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</si>
  <si>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</si>
  <si>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</si>
  <si>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</si>
  <si>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</si>
  <si>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</si>
  <si>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</si>
  <si>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</si>
  <si>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</si>
  <si>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</si>
  <si>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</si>
  <si>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</si>
  <si>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</si>
  <si>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</si>
  <si>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</si>
  <si>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</si>
  <si>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</si>
  <si>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</si>
  <si>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</si>
  <si>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</si>
  <si>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</si>
  <si>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</si>
  <si>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</si>
  <si>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</si>
  <si>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</si>
  <si>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</si>
  <si>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</si>
  <si>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</si>
  <si>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</si>
  <si>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</si>
  <si>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</si>
  <si>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</si>
  <si>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</si>
  <si>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</si>
  <si>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</si>
  <si>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</si>
  <si>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</si>
  <si>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</si>
  <si>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</si>
  <si>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</si>
  <si>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</si>
  <si>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</si>
  <si>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</si>
  <si>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</si>
  <si>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</si>
  <si>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</si>
  <si>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</si>
  <si>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</si>
  <si>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</si>
  <si>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</si>
  <si>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</si>
  <si>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</si>
  <si>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</si>
  <si>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</si>
  <si>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</si>
  <si>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</si>
  <si>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</si>
  <si>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</si>
  <si>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</si>
  <si>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</si>
  <si>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</si>
  <si>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</si>
  <si>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</si>
  <si>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</si>
  <si>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</si>
  <si>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</si>
  <si>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</si>
  <si>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</si>
  <si>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</si>
  <si>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</si>
  <si>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</si>
  <si>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</si>
  <si>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</si>
  <si>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</si>
  <si>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</si>
  <si>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</si>
  <si>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</si>
  <si>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</si>
  <si>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</si>
  <si>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</si>
  <si>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</si>
  <si>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</si>
  <si>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</si>
  <si>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</si>
  <si>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</si>
  <si>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</si>
  <si>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</si>
  <si>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</si>
  <si>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</si>
  <si>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</si>
  <si>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</si>
  <si>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</si>
  <si>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</si>
  <si>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</si>
  <si>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</si>
  <si>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</si>
  <si>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</si>
  <si>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</si>
  <si>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</si>
  <si>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</si>
  <si>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</si>
  <si>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</si>
  <si>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</si>
  <si>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</si>
  <si>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</si>
  <si>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</si>
  <si>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</si>
  <si>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</si>
  <si>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</si>
  <si>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</si>
  <si>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</si>
  <si>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</si>
  <si>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</si>
  <si>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</si>
  <si>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</si>
  <si>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</si>
  <si>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</si>
  <si>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</si>
  <si>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</si>
  <si>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</si>
  <si>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</si>
  <si>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</si>
  <si>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</si>
  <si>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</si>
  <si>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</si>
  <si>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</si>
  <si>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</si>
  <si>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</si>
  <si>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</si>
  <si>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</si>
  <si>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</si>
  <si>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</si>
  <si>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</si>
  <si>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</si>
  <si>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</si>
  <si>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</si>
  <si>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</si>
  <si>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</si>
  <si>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</si>
  <si>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</si>
  <si>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</si>
  <si>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</si>
  <si>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</si>
  <si>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</si>
  <si>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</si>
  <si>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</si>
  <si>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</si>
  <si>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</si>
  <si>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</si>
  <si>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</si>
  <si>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</si>
  <si>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</si>
  <si>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</si>
  <si>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</si>
  <si>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</si>
  <si>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</si>
  <si>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</si>
  <si>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</si>
  <si>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</si>
  <si>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</si>
  <si>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</si>
  <si>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</si>
  <si>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</si>
  <si>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</si>
  <si>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</si>
  <si>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</si>
  <si>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</si>
  <si>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</si>
  <si>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</si>
  <si>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</si>
  <si>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</si>
  <si>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</si>
  <si>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</si>
  <si>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</si>
  <si>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</si>
  <si>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</si>
  <si>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</si>
  <si>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</si>
  <si>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</si>
  <si>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</si>
  <si>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</si>
  <si>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</si>
  <si>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</si>
  <si>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</si>
  <si>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</si>
  <si>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</si>
  <si>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</si>
  <si>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</si>
  <si>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</si>
  <si>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</si>
  <si>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</si>
  <si>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</si>
  <si>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</si>
  <si>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</si>
  <si>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</si>
  <si>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</si>
  <si>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</si>
  <si>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</si>
  <si>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</si>
  <si>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</si>
  <si>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</si>
  <si>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</si>
  <si>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</si>
  <si>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</si>
  <si>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</si>
  <si>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</si>
  <si>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</si>
  <si>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</si>
  <si>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</si>
  <si>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</si>
  <si>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</si>
  <si>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</si>
  <si>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</si>
  <si>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</si>
  <si>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</si>
  <si>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</si>
  <si>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</si>
  <si>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</si>
  <si>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</si>
  <si>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</si>
  <si>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</si>
  <si>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</si>
  <si>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</si>
  <si>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</si>
  <si>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</si>
  <si>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</si>
  <si>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</si>
  <si>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</si>
  <si>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</si>
  <si>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</si>
  <si>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</si>
  <si>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</si>
  <si>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</si>
  <si>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</si>
  <si>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</si>
  <si>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</si>
  <si>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</si>
  <si>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</si>
  <si>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</si>
  <si>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</si>
  <si>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</si>
  <si>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</si>
  <si>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</si>
  <si>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</si>
  <si>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</si>
  <si>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</si>
  <si>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</si>
  <si>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</si>
  <si>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</si>
  <si>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</si>
  <si>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</si>
  <si>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</si>
  <si>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</si>
  <si>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</si>
  <si>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</si>
  <si>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</si>
  <si>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</si>
  <si>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</si>
  <si>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</si>
  <si>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</si>
  <si>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</si>
  <si>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</si>
  <si>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</si>
  <si>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</si>
  <si>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</si>
  <si>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</si>
  <si>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</si>
  <si>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</si>
  <si>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</si>
  <si>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</si>
  <si>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</si>
  <si>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</si>
  <si>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</si>
  <si>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</si>
  <si>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</si>
  <si>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</si>
  <si>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</si>
  <si>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</si>
  <si>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</si>
  <si>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</si>
  <si>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</si>
  <si>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</si>
  <si>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</si>
  <si>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</si>
  <si>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</si>
  <si>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</si>
  <si>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</si>
  <si>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</si>
  <si>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</si>
  <si>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</si>
  <si>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</si>
  <si>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</si>
  <si>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</si>
  <si>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</si>
  <si>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</si>
  <si>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</si>
  <si>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</si>
  <si>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</si>
  <si>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</si>
  <si>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</si>
  <si>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</si>
  <si>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</si>
  <si>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</si>
  <si>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</si>
  <si>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</si>
  <si>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</si>
  <si>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</si>
  <si>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</si>
  <si>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</si>
  <si>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</si>
  <si>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</si>
  <si>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Community HousingWorks</t>
  </si>
  <si>
    <t>Portola Senior</t>
  </si>
  <si>
    <t>City of Lake Forest</t>
  </si>
  <si>
    <t>Debra D. Rose</t>
  </si>
  <si>
    <t>25550 Commercentre Drive, Suite 100</t>
  </si>
  <si>
    <t>Lake Forest, CA</t>
  </si>
  <si>
    <t>949-461-3410</t>
  </si>
  <si>
    <t>949-461-3510</t>
  </si>
  <si>
    <t>drose@lakeforestca.gov</t>
  </si>
  <si>
    <t>CDLAC-TCAC Joint Application (submitting concurrently)</t>
  </si>
  <si>
    <t>829</t>
  </si>
  <si>
    <t>To be established</t>
  </si>
  <si>
    <t>SE corner of Glenn  Ranch Road and Portola Oaks Drive, Lake Forest, CA 92679. Lots 1 and  A of Tract No. 18096, City of Lake Forest</t>
  </si>
  <si>
    <t>Lake Forest</t>
  </si>
  <si>
    <t>606-451-02</t>
  </si>
  <si>
    <t>40%/60%</t>
  </si>
  <si>
    <t>3111 Camino del Rio North, #800</t>
  </si>
  <si>
    <t>CA</t>
  </si>
  <si>
    <t>Sylvia Martinez</t>
  </si>
  <si>
    <t>619-282-4145</t>
  </si>
  <si>
    <t>smartinez@chworks.org</t>
  </si>
  <si>
    <t>3111 Camino del Rio North #800</t>
  </si>
  <si>
    <t>Mary Jane Jagodzinski</t>
  </si>
  <si>
    <t>619-450-8710</t>
  </si>
  <si>
    <t>mjjag@chworks.org</t>
  </si>
  <si>
    <t>Managing GP</t>
  </si>
  <si>
    <t>619-450-7812</t>
  </si>
  <si>
    <t>Developer/GP</t>
  </si>
  <si>
    <t>San Diego, CA 92108</t>
  </si>
  <si>
    <t>AVRP Skyport</t>
  </si>
  <si>
    <t>703 16th Street, Suite 200</t>
  </si>
  <si>
    <t>San Diego, CA 92101</t>
  </si>
  <si>
    <t>Charles Brinton</t>
  </si>
  <si>
    <t>619-704-2700</t>
  </si>
  <si>
    <t>cbrinton@avrpstudios.com</t>
  </si>
  <si>
    <t>Downs Pham &amp; Kuei, LLP</t>
  </si>
  <si>
    <t>One Embarcadero Center, 18th Fl</t>
  </si>
  <si>
    <t>San Francisco, CA 94111</t>
  </si>
  <si>
    <t>Irene Kuei</t>
  </si>
  <si>
    <t>415-202-6376</t>
  </si>
  <si>
    <t>ikuei@downspham.com</t>
  </si>
  <si>
    <t>SoCalHERS</t>
  </si>
  <si>
    <t>2840 Fletcher Parkway</t>
  </si>
  <si>
    <t>El Cajon, CA 92020</t>
  </si>
  <si>
    <t>Kevin Rasmussen</t>
  </si>
  <si>
    <t>619-251-7982</t>
  </si>
  <si>
    <t>kvnras@gmail.com</t>
  </si>
  <si>
    <t>Same as appraiser</t>
  </si>
  <si>
    <t>CHPC</t>
  </si>
  <si>
    <t>600 Wilshire  Blvd. #890</t>
  </si>
  <si>
    <t>Los Angeles, Ca 90017</t>
  </si>
  <si>
    <t>Deanna Bligh</t>
  </si>
  <si>
    <t>213-892-8775</t>
  </si>
  <si>
    <t>dbligh@chpc.net</t>
  </si>
  <si>
    <t>Kinetic Valuation Group</t>
  </si>
  <si>
    <t>11060 Oak Street, Suite 6</t>
  </si>
  <si>
    <t>Omaha, NE 68144</t>
  </si>
  <si>
    <t>Brent Griffiths</t>
  </si>
  <si>
    <t>402-270-4516</t>
  </si>
  <si>
    <t>brent@kvgteam.com</t>
  </si>
  <si>
    <t>CMFA</t>
  </si>
  <si>
    <t>2111 Palomar Airport Road #320</t>
  </si>
  <si>
    <t>Carlsbad, CA 92011</t>
  </si>
  <si>
    <t>John Stoecker</t>
  </si>
  <si>
    <t>760-930-1221</t>
  </si>
  <si>
    <t>jstoecker@cmfa.com</t>
  </si>
  <si>
    <t>ConAm Property Management</t>
  </si>
  <si>
    <t>3990 Ruffin Road #100</t>
  </si>
  <si>
    <t>San Diego, CA 92123</t>
  </si>
  <si>
    <t>Michelle Sites</t>
  </si>
  <si>
    <t>858-614-7673</t>
  </si>
  <si>
    <t>msites@conam.com</t>
  </si>
  <si>
    <t>SRC-PH Investements, LLC</t>
  </si>
  <si>
    <t>Nick Lee</t>
  </si>
  <si>
    <t>Senior Vice President</t>
  </si>
  <si>
    <t>20 Corporate Plaza</t>
  </si>
  <si>
    <t>Newport Beach, CA 92660</t>
  </si>
  <si>
    <t>619-515-9115</t>
  </si>
  <si>
    <t>not  avail.</t>
  </si>
  <si>
    <t>n/a</t>
  </si>
  <si>
    <t>Four story building</t>
  </si>
  <si>
    <t>Ground floor retail plus adjacent parking (will be sold immediately upon completion); 10,015 sf</t>
  </si>
  <si>
    <t>Mixed Use</t>
  </si>
  <si>
    <t>City of Lake Forest Planned Community Mixed Use MX-1</t>
  </si>
  <si>
    <t>Project will be  subject to affordable housing restrictions by the City of Lake Forest</t>
  </si>
  <si>
    <t>45' above average grade</t>
  </si>
  <si>
    <t>residential 1:1</t>
  </si>
  <si>
    <t>Affordable Funding Gap loan/SRC-PH</t>
  </si>
  <si>
    <t>Purchase of Commercial Space</t>
  </si>
  <si>
    <t>Variable</t>
  </si>
  <si>
    <t>US Bank - tax exempt construction loan</t>
  </si>
  <si>
    <t>US Bank - taxable construction loan</t>
  </si>
  <si>
    <t>Fixed</t>
  </si>
  <si>
    <t>SRC-PH Affordable Funding gap loan</t>
  </si>
  <si>
    <t>Costs deferred to Conversion</t>
  </si>
  <si>
    <t>GP Capital Contribution (developer fee)</t>
  </si>
  <si>
    <t>GP Capital</t>
  </si>
  <si>
    <t>Limited Partner Equity</t>
  </si>
  <si>
    <t>Accrued defered interest - SRC PH loan</t>
  </si>
  <si>
    <t>1307 Washington Ave #300</t>
  </si>
  <si>
    <t>St. Louis, MO 63103</t>
  </si>
  <si>
    <t>St. Lous, MO 63103</t>
  </si>
  <si>
    <t>Jennifer Craig</t>
  </si>
  <si>
    <t>314-335-1422</t>
  </si>
  <si>
    <t>Conventional loan</t>
  </si>
  <si>
    <t>LIBOR</t>
  </si>
  <si>
    <t>20 Corporate Plaza Drive</t>
  </si>
  <si>
    <t>Same as loan -- SRC-PH</t>
  </si>
  <si>
    <t>Residual Receipts Loan</t>
  </si>
  <si>
    <t>3111 Camino Del Rio N #800</t>
  </si>
  <si>
    <t>CHW - see #5</t>
  </si>
  <si>
    <t>Deferred Costs</t>
  </si>
  <si>
    <t>CHW - same as #5</t>
  </si>
  <si>
    <t>TBD - See CHPC letter in 16A</t>
  </si>
  <si>
    <t>US Bank - taxable perm loan</t>
  </si>
  <si>
    <t>SRC- PH Purchase of Commercial space</t>
  </si>
  <si>
    <t xml:space="preserve">GP Capital </t>
  </si>
  <si>
    <t>1307 Washington Ave., #300</t>
  </si>
  <si>
    <t>Conventional Loan</t>
  </si>
  <si>
    <t xml:space="preserve">Newport Beach, CA </t>
  </si>
  <si>
    <t>Residual Receipt</t>
  </si>
  <si>
    <t>Accrued Deferred Interest</t>
  </si>
  <si>
    <t>Newport Beach, CA</t>
  </si>
  <si>
    <t>Purchase proceeds</t>
  </si>
  <si>
    <t>Same as #2 and #3 - SRC-PH</t>
  </si>
  <si>
    <t>3111 Camino del Rio N. #800</t>
  </si>
  <si>
    <t>Same as #5 - CHW</t>
  </si>
  <si>
    <t>Orange County Public Housing Authority</t>
  </si>
  <si>
    <t>Phone, computer, software</t>
  </si>
  <si>
    <t>Payroll/benefits</t>
  </si>
  <si>
    <t>Fire protection, uniforms, janitorial</t>
  </si>
  <si>
    <t>HOA fees</t>
  </si>
  <si>
    <t>Owner legal- const</t>
  </si>
  <si>
    <t>Owner legal - perm</t>
  </si>
  <si>
    <t>HERS Rater/GPR</t>
  </si>
  <si>
    <t>Construction Supervision</t>
  </si>
  <si>
    <t>Entitlement Consulting</t>
  </si>
  <si>
    <t>Predevelopment Interest</t>
  </si>
  <si>
    <t>Lake Forest Housing Opportunities  (To Be Formed)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</si>
</sst>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49" fontId="6" fillId="5" borderId="6"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6" xfId="0" applyFont="1" applyFill="1" applyBorder="1" applyAlignment="1" applyProtection="1">
      <alignment horizontal="center"/>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175" fontId="6" fillId="5"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56" t="s">
        <v>596</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3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3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2"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3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35" customHeight="1">
      <c r="A40" s="152"/>
      <c r="B40"/>
      <c r="C40" s="5"/>
      <c r="D40" s="152"/>
      <c r="E40" s="152" t="s">
        <v>706</v>
      </c>
      <c r="F40" s="960" t="s">
        <v>1400</v>
      </c>
    </row>
    <row r="41" spans="1:38" s="960"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3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35"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1497</v>
      </c>
      <c r="I340" s="188"/>
      <c r="J340" s="152"/>
      <c r="K340" s="152"/>
      <c r="L340" s="152"/>
      <c r="M340" s="152"/>
      <c r="N340" s="152"/>
      <c r="O340" s="152"/>
      <c r="P340" s="152"/>
      <c r="Q340" s="152"/>
      <c r="R340" s="152"/>
      <c r="S340" s="152"/>
    </row>
    <row r="341" spans="2:37" s="741" customFormat="1" ht="13.3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7" t="s">
        <v>1009</v>
      </c>
      <c r="B1" s="1707"/>
      <c r="C1" s="1707"/>
      <c r="D1" s="1707"/>
      <c r="E1" s="1707"/>
      <c r="F1" s="1707"/>
      <c r="G1" s="1707"/>
      <c r="H1" s="1707"/>
      <c r="I1" s="1707"/>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40</v>
      </c>
      <c r="C4" s="682">
        <f>Application!K709</f>
        <v>1144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17</v>
      </c>
      <c r="C5" s="682">
        <f>Application!K710</f>
        <v>1144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65208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4826</v>
      </c>
      <c r="C7" s="438">
        <f>'Sources and Uses Budget'!$C6</f>
        <v>4826</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4827</v>
      </c>
      <c r="C9" s="442">
        <f>SUM(C5:C8)</f>
        <v>4827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2506062</v>
      </c>
      <c r="C11" s="438">
        <f>'Sources and Uses Budget'!$C10</f>
        <v>2506062</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2506062</v>
      </c>
      <c r="C12" s="442">
        <f>SUM(C10:C11)</f>
        <v>2506062</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2510889</v>
      </c>
      <c r="C13" s="442">
        <f>SUM(C9+C12)</f>
        <v>2510889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14272</v>
      </c>
      <c r="C14" s="438">
        <f>'Sources and Uses Budget'!$C13</f>
        <v>14272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1583264</v>
      </c>
      <c r="C29" s="438">
        <f>'Sources and Uses Budget'!$C28</f>
        <v>1583264</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7108092</v>
      </c>
      <c r="C30" s="438">
        <f>'Sources and Uses Budget'!$C29</f>
        <v>7108092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981266</v>
      </c>
      <c r="C31" s="438">
        <f>'Sources and Uses Budget'!$C30</f>
        <v>981266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128388</v>
      </c>
      <c r="C32" s="438">
        <f>'Sources and Uses Budget'!$C31</f>
        <v>128388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128388</v>
      </c>
      <c r="C33" s="438">
        <f>'Sources and Uses Budget'!$C32</f>
        <v>128388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259603</v>
      </c>
      <c r="C35" s="438">
        <f>'Sources and Uses Budget'!$C34</f>
        <v>259603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10189001</v>
      </c>
      <c r="C37" s="442">
        <f>SUM(C29:C36)</f>
        <v>10189001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565812</v>
      </c>
      <c r="C39" s="438">
        <f>'Sources and Uses Budget'!$C38</f>
        <v>565812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565812</v>
      </c>
      <c r="C41" s="442">
        <f>SUM(C39:C40)</f>
        <v>565812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314697</v>
      </c>
      <c r="C42" s="438">
        <f>'Sources and Uses Budget'!$C41</f>
        <v>314697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998107</v>
      </c>
      <c r="C44" s="438">
        <f>'Sources and Uses Budget'!$C43</f>
        <v>998107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130045</v>
      </c>
      <c r="C45" s="438">
        <f>'Sources and Uses Budget'!$C44</f>
        <v>130045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277946</v>
      </c>
      <c r="C48" s="438">
        <f>'Sources and Uses Budget'!$C47</f>
        <v>277946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35547</v>
      </c>
      <c r="C49" s="438">
        <f>'Sources and Uses Budget'!$C48</f>
        <v>35547</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53321</v>
      </c>
      <c r="C50" s="438">
        <f>'Sources and Uses Budget'!$C49</f>
        <v>53321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185856</v>
      </c>
      <c r="C51" s="438">
        <f>'Sources and Uses Budget'!$C50</f>
        <v>185856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48878</v>
      </c>
      <c r="C52" s="438">
        <f>'Sources and Uses Budget'!$C51</f>
        <v>48878</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1729700</v>
      </c>
      <c r="C54" s="445">
        <f>SUM(C44:C53)</f>
        <v>1729700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56370</v>
      </c>
      <c r="C56" s="438">
        <f>'Sources and Uses Budget'!$C55</f>
        <v>56370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22217</v>
      </c>
      <c r="C58" s="438">
        <f>'Sources and Uses Budget'!$C57</f>
        <v>22217</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8887</v>
      </c>
      <c r="C61" s="438">
        <f>'Sources and Uses Budget'!$C60</f>
        <v>8887</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87474</v>
      </c>
      <c r="C63" s="442">
        <f>SUM(C56:C62)</f>
        <v>87474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15411845</v>
      </c>
      <c r="C64" s="442">
        <f>SUM(C9+C12+C14+C15+C17+C26+C27+C37+C41+C42+C54+C63)</f>
        <v>15411845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20300</v>
      </c>
      <c r="C71" s="438">
        <f>'Sources and Uses Budget'!$C70</f>
        <v>20300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174568</v>
      </c>
      <c r="C73" s="438">
        <f>'Sources and Uses Budget'!$C72</f>
        <v>174568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194868</v>
      </c>
      <c r="C75" s="442">
        <f>SUM(C70:C74)</f>
        <v>194868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1358420</v>
      </c>
      <c r="C77" s="438">
        <f>'Sources and Uses Budget'!$C76</f>
        <v>1358420</v>
      </c>
      <c r="D77" s="442">
        <f t="shared" si="1"/>
        <v>0</v>
      </c>
      <c r="E77" s="440"/>
      <c r="F77" s="439"/>
      <c r="G77" s="577"/>
    </row>
    <row r="78" spans="1:253" s="571" customFormat="1">
      <c r="A78" s="893" t="s">
        <v>63</v>
      </c>
      <c r="B78" s="438">
        <f>'Sources and Uses Budget'!$C77</f>
        <v>316583</v>
      </c>
      <c r="C78" s="438">
        <f>'Sources and Uses Budget'!$C77</f>
        <v>316583</v>
      </c>
      <c r="D78" s="442">
        <f t="shared" ref="D78" si="2">C78-B78</f>
        <v>0</v>
      </c>
      <c r="E78" s="440"/>
      <c r="F78" s="439"/>
      <c r="G78" s="577"/>
    </row>
    <row r="79" spans="1:253" s="571" customFormat="1">
      <c r="A79" s="443" t="s">
        <v>1468</v>
      </c>
      <c r="B79" s="442">
        <f>SUM(B77:B78)</f>
        <v>1675003</v>
      </c>
      <c r="C79" s="442">
        <f>SUM(C77:C78)</f>
        <v>1675003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33202</v>
      </c>
      <c r="C81" s="438">
        <f>'Sources and Uses Budget'!$C80</f>
        <v>33202</v>
      </c>
      <c r="D81" s="442">
        <f t="shared" si="1"/>
        <v>0</v>
      </c>
      <c r="E81" s="440"/>
      <c r="F81" s="439"/>
      <c r="G81" s="577"/>
    </row>
    <row r="82" spans="1:7" s="571" customFormat="1">
      <c r="A82" s="441" t="s">
        <v>845</v>
      </c>
      <c r="B82" s="438">
        <f>'Sources and Uses Budget'!$C81</f>
        <v>3777</v>
      </c>
      <c r="C82" s="438">
        <f>'Sources and Uses Budget'!$C81</f>
        <v>3777</v>
      </c>
      <c r="D82" s="442">
        <f t="shared" si="1"/>
        <v>0</v>
      </c>
      <c r="E82" s="440"/>
      <c r="F82" s="439"/>
      <c r="G82" s="577"/>
    </row>
    <row r="83" spans="1:7" s="571" customFormat="1">
      <c r="A83" s="441" t="s">
        <v>846</v>
      </c>
      <c r="B83" s="438">
        <f>'Sources and Uses Budget'!$C82</f>
        <v>1182295</v>
      </c>
      <c r="C83" s="438">
        <f>'Sources and Uses Budget'!$C82</f>
        <v>1182295</v>
      </c>
      <c r="D83" s="442">
        <f t="shared" si="1"/>
        <v>0</v>
      </c>
      <c r="E83" s="440"/>
      <c r="F83" s="439"/>
      <c r="G83" s="577"/>
    </row>
    <row r="84" spans="1:7" s="571" customFormat="1">
      <c r="A84" s="441" t="s">
        <v>847</v>
      </c>
      <c r="B84" s="438">
        <f>'Sources and Uses Budget'!$C83</f>
        <v>111086</v>
      </c>
      <c r="C84" s="438">
        <f>'Sources and Uses Budget'!$C83</f>
        <v>111086</v>
      </c>
      <c r="D84" s="442">
        <f t="shared" si="1"/>
        <v>0</v>
      </c>
      <c r="E84" s="440"/>
      <c r="F84" s="439"/>
      <c r="G84" s="577"/>
    </row>
    <row r="85" spans="1:7" s="571" customFormat="1">
      <c r="A85" s="441" t="s">
        <v>848</v>
      </c>
      <c r="B85" s="438">
        <f>'Sources and Uses Budget'!$C84</f>
        <v>26661</v>
      </c>
      <c r="C85" s="438">
        <f>'Sources and Uses Budget'!$C84</f>
        <v>26661</v>
      </c>
      <c r="D85" s="442">
        <f t="shared" si="1"/>
        <v>0</v>
      </c>
      <c r="E85" s="440"/>
      <c r="F85" s="439"/>
      <c r="G85" s="577"/>
    </row>
    <row r="86" spans="1:7" s="571" customFormat="1">
      <c r="A86" s="441" t="s">
        <v>849</v>
      </c>
      <c r="B86" s="438">
        <f>'Sources and Uses Budget'!$C85</f>
        <v>96998</v>
      </c>
      <c r="C86" s="438">
        <f>'Sources and Uses Budget'!$C85</f>
        <v>96998</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19900</v>
      </c>
      <c r="C88" s="438">
        <f>'Sources and Uses Budget'!$C87</f>
        <v>19900</v>
      </c>
      <c r="D88" s="442">
        <f t="shared" si="1"/>
        <v>0</v>
      </c>
      <c r="E88" s="440"/>
      <c r="F88" s="439"/>
      <c r="G88" s="577"/>
    </row>
    <row r="89" spans="1:7" s="571" customFormat="1">
      <c r="A89" s="447" t="s">
        <v>403</v>
      </c>
      <c r="B89" s="438">
        <f>'Sources and Uses Budget'!$C88</f>
        <v>13330</v>
      </c>
      <c r="C89" s="438">
        <f>'Sources and Uses Budget'!$C88</f>
        <v>13330</v>
      </c>
      <c r="D89" s="442">
        <f t="shared" si="1"/>
        <v>0</v>
      </c>
      <c r="E89" s="440"/>
      <c r="F89" s="439"/>
      <c r="G89" s="577"/>
    </row>
    <row r="90" spans="1:7" s="571" customFormat="1">
      <c r="A90" s="892" t="s">
        <v>1470</v>
      </c>
      <c r="B90" s="438">
        <f>'Sources and Uses Budget'!$C89</f>
        <v>10664</v>
      </c>
      <c r="C90" s="438">
        <f>'Sources and Uses Budget'!$C89</f>
        <v>10664</v>
      </c>
      <c r="D90" s="442">
        <f t="shared" si="1"/>
        <v>0</v>
      </c>
      <c r="E90" s="440"/>
      <c r="F90" s="439"/>
      <c r="G90" s="577"/>
    </row>
    <row r="91" spans="1:7" s="571" customFormat="1">
      <c r="A91" s="444" t="s">
        <v>37</v>
      </c>
      <c r="B91" s="438">
        <f>'Sources and Uses Budget'!$C90</f>
        <v>44434</v>
      </c>
      <c r="C91" s="438">
        <f>'Sources and Uses Budget'!$C90</f>
        <v>44434</v>
      </c>
      <c r="D91" s="442">
        <f t="shared" si="1"/>
        <v>0</v>
      </c>
      <c r="E91" s="440"/>
      <c r="F91" s="439"/>
      <c r="G91" s="577"/>
    </row>
    <row r="92" spans="1:7" s="571" customFormat="1">
      <c r="A92" s="444" t="s">
        <v>37</v>
      </c>
      <c r="B92" s="438">
        <f>'Sources and Uses Budget'!$C91</f>
        <v>97756</v>
      </c>
      <c r="C92" s="438">
        <f>'Sources and Uses Budget'!$C91</f>
        <v>97756</v>
      </c>
      <c r="D92" s="442">
        <f t="shared" si="1"/>
        <v>0</v>
      </c>
      <c r="E92" s="440"/>
      <c r="F92" s="439"/>
      <c r="G92" s="577"/>
    </row>
    <row r="93" spans="1:7" s="571" customFormat="1">
      <c r="A93" s="444" t="s">
        <v>37</v>
      </c>
      <c r="B93" s="438">
        <f>'Sources and Uses Budget'!$C92</f>
        <v>111086</v>
      </c>
      <c r="C93" s="438">
        <f>'Sources and Uses Budget'!$C92</f>
        <v>111086</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23870</v>
      </c>
      <c r="C95" s="438">
        <f>'Sources and Uses Budget'!$C94</f>
        <v>23870</v>
      </c>
      <c r="D95" s="442">
        <f t="shared" si="1"/>
        <v>0</v>
      </c>
      <c r="E95" s="440"/>
      <c r="F95" s="439"/>
      <c r="G95" s="577"/>
    </row>
    <row r="96" spans="1:7" s="571" customFormat="1">
      <c r="A96" s="443" t="s">
        <v>852</v>
      </c>
      <c r="B96" s="442">
        <f>SUM(B81:B95)</f>
        <v>1835059</v>
      </c>
      <c r="C96" s="442">
        <f>SUM(C81:C95)</f>
        <v>1835059</v>
      </c>
      <c r="D96" s="442">
        <f t="shared" si="1"/>
        <v>0</v>
      </c>
      <c r="E96" s="440"/>
      <c r="F96" s="439"/>
      <c r="G96" s="577"/>
    </row>
    <row r="97" spans="1:7" s="571" customFormat="1">
      <c r="A97" s="443" t="s">
        <v>853</v>
      </c>
      <c r="B97" s="442">
        <f>SUM(B64+B68+B75+B79+B96)</f>
        <v>19176775</v>
      </c>
      <c r="C97" s="442">
        <f>SUM(C64+C68+C75+C79+C96)</f>
        <v>19176775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2141943</v>
      </c>
      <c r="C99" s="438">
        <f>'Sources and Uses Budget'!$C98</f>
        <v>2141943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2141943</v>
      </c>
      <c r="C105" s="442">
        <f>SUM(C99:C104)</f>
        <v>2141943</v>
      </c>
      <c r="D105" s="442">
        <f t="shared" si="1"/>
        <v>0</v>
      </c>
      <c r="E105" s="440"/>
      <c r="F105" s="439"/>
      <c r="G105" s="575"/>
    </row>
    <row r="106" spans="1:7" s="570" customFormat="1">
      <c r="A106" s="443" t="s">
        <v>861</v>
      </c>
      <c r="B106" s="445">
        <f>SUM(B97+B105)</f>
        <v>21318718</v>
      </c>
      <c r="C106" s="445">
        <f>SUM(C97+C105)</f>
        <v>21318718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328</v>
      </c>
    </row>
    <row r="4" spans="1:9">
      <c r="I4" s="702" t="s">
        <v>1199</v>
      </c>
    </row>
    <row r="5" spans="1:9" s="39" customFormat="1">
      <c r="A5" s="1014" t="s">
        <v>1126</v>
      </c>
      <c r="B5" s="1014"/>
      <c r="C5" s="1015"/>
      <c r="D5" s="1015"/>
      <c r="E5" s="1015"/>
      <c r="F5" s="1015"/>
      <c r="G5" s="1015"/>
      <c r="I5" s="702" t="s">
        <v>1200</v>
      </c>
    </row>
    <row r="6" spans="1:9" s="39" customFormat="1">
      <c r="A6" s="1014" t="s">
        <v>903</v>
      </c>
      <c r="B6" s="1014"/>
      <c r="C6" s="1015"/>
      <c r="D6" s="1015"/>
      <c r="E6" s="1015"/>
      <c r="F6" s="1015"/>
      <c r="G6" s="1015"/>
      <c r="I6" s="701" t="s">
        <v>641</v>
      </c>
    </row>
    <row r="7" spans="1:9" ht="12"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3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328</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328</v>
      </c>
      <c r="D21" s="1026" t="s">
        <v>1282</v>
      </c>
      <c r="E21" s="1026"/>
      <c r="F21" s="1026"/>
    </row>
    <row r="22" spans="1:7" ht="14.25">
      <c r="A22" s="270"/>
      <c r="B22" s="270"/>
      <c r="D22" s="138"/>
    </row>
    <row r="23" spans="1:7" ht="14.25">
      <c r="A23" s="270"/>
      <c r="B23" s="703" t="s">
        <v>328</v>
      </c>
      <c r="D23" s="960" t="s">
        <v>1283</v>
      </c>
      <c r="E23" s="960"/>
      <c r="F23" s="960"/>
    </row>
    <row r="24" spans="1:7" ht="14.25">
      <c r="A24" s="270"/>
      <c r="B24" s="270"/>
      <c r="D24" s="960"/>
      <c r="E24" s="960"/>
      <c r="F24" s="960"/>
    </row>
    <row r="25" spans="1:7"/>
    <row r="26" spans="1:7" ht="14.25">
      <c r="A26" s="270"/>
      <c r="B26" s="703" t="s">
        <v>328</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328</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328</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328</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1292</v>
      </c>
      <c r="E61" s="961"/>
      <c r="F61" s="961"/>
    </row>
    <row r="62" spans="1:7">
      <c r="D62" s="961"/>
      <c r="E62" s="961"/>
      <c r="F62" s="961"/>
    </row>
    <row r="63" spans="1:7"/>
    <row r="64" spans="1:7" ht="14.25">
      <c r="A64" s="270"/>
      <c r="B64" s="703" t="s">
        <v>328</v>
      </c>
      <c r="D64" s="961" t="s">
        <v>1293</v>
      </c>
      <c r="E64" s="961"/>
      <c r="F64" s="961"/>
    </row>
    <row r="65" spans="1:7">
      <c r="D65" s="961"/>
      <c r="E65" s="961"/>
      <c r="F65" s="961"/>
    </row>
    <row r="66" spans="1:7">
      <c r="A66" s="579"/>
      <c r="C66" s="579"/>
      <c r="D66" s="961"/>
      <c r="E66" s="961"/>
      <c r="F66" s="961"/>
    </row>
    <row r="67" spans="1:7">
      <c r="D67" s="12"/>
    </row>
    <row r="68" spans="1:7" ht="14.25">
      <c r="A68" s="270"/>
      <c r="B68" s="703" t="s">
        <v>328</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328</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328</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328</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328</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328</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2" t="s">
        <v>1306</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328</v>
      </c>
      <c r="C159" s="335"/>
      <c r="D159" s="968" t="s">
        <v>1307</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328</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483</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3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328</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328</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221</v>
      </c>
      <c r="E193" s="1006"/>
      <c r="F193" s="1006"/>
    </row>
    <row r="194" spans="1:6">
      <c r="A194" s="264"/>
      <c r="B194" s="697"/>
      <c r="C194" s="264"/>
      <c r="D194" s="975" t="s">
        <v>1333</v>
      </c>
      <c r="E194" s="985"/>
      <c r="F194" s="985"/>
    </row>
    <row r="195" spans="1:6" ht="12" customHeight="1">
      <c r="A195" s="23"/>
      <c r="B195" s="699"/>
      <c r="C195" s="23"/>
    </row>
    <row r="196" spans="1:6" ht="13.35" customHeight="1">
      <c r="A196" s="23"/>
      <c r="C196" s="23"/>
      <c r="D196" s="983" t="s">
        <v>592</v>
      </c>
      <c r="E196" s="983"/>
      <c r="F196" s="983"/>
    </row>
    <row r="197" spans="1:6" ht="14.25">
      <c r="A197" s="270"/>
      <c r="B197" s="703" t="s">
        <v>328</v>
      </c>
      <c r="D197" s="960" t="s">
        <v>1327</v>
      </c>
      <c r="E197" s="960"/>
      <c r="F197" s="960"/>
    </row>
    <row r="198" spans="1:6" ht="14.25">
      <c r="A198" s="270"/>
      <c r="B198" s="270"/>
      <c r="D198" s="960"/>
      <c r="E198" s="960"/>
      <c r="F198" s="960"/>
    </row>
    <row r="199" spans="1:6"/>
    <row r="200" spans="1:6" ht="14.25">
      <c r="A200" s="270"/>
      <c r="B200" s="703" t="s">
        <v>328</v>
      </c>
      <c r="D200" s="960" t="s">
        <v>1328</v>
      </c>
      <c r="E200" s="960"/>
      <c r="F200" s="960"/>
    </row>
    <row r="201" spans="1:6" ht="14.25">
      <c r="A201" s="270"/>
      <c r="B201" s="270"/>
      <c r="D201" s="960"/>
      <c r="E201" s="960"/>
      <c r="F201" s="960"/>
    </row>
    <row r="202" spans="1:6" ht="14.25">
      <c r="A202" s="270"/>
      <c r="B202" s="270"/>
      <c r="D202" s="960"/>
      <c r="E202" s="960"/>
      <c r="F202" s="960"/>
    </row>
    <row r="203" spans="1:6" ht="5.25"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328</v>
      </c>
      <c r="D210" s="974" t="s">
        <v>1330</v>
      </c>
      <c r="E210" s="974"/>
      <c r="F210" s="974"/>
    </row>
    <row r="211" spans="1:7" ht="14.25">
      <c r="A211" s="270"/>
      <c r="B211" s="270"/>
      <c r="D211" s="974"/>
      <c r="E211" s="974"/>
      <c r="F211" s="974"/>
    </row>
    <row r="212" spans="1:7" ht="14.25">
      <c r="A212" s="270"/>
      <c r="B212" s="270"/>
      <c r="D212" s="1008" t="s">
        <v>992</v>
      </c>
      <c r="E212" s="1008"/>
      <c r="F212" s="1008"/>
    </row>
    <row r="213" spans="1:7" ht="14.25">
      <c r="A213" s="270"/>
      <c r="B213" s="270"/>
      <c r="D213" s="138"/>
      <c r="E213" s="138"/>
      <c r="F213" s="138"/>
    </row>
    <row r="214" spans="1:7" ht="14.45" customHeight="1">
      <c r="A214" s="270"/>
      <c r="B214" s="703" t="s">
        <v>328</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328</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984" t="s">
        <v>1335</v>
      </c>
      <c r="E228" s="984"/>
      <c r="F228" s="984"/>
    </row>
    <row r="229" spans="1:6" ht="14.25">
      <c r="A229" s="270"/>
      <c r="B229" s="270"/>
      <c r="D229" s="984"/>
      <c r="E229" s="984"/>
      <c r="F229" s="984"/>
    </row>
    <row r="230" spans="1:6">
      <c r="D230" s="138"/>
      <c r="E230" s="138"/>
      <c r="F230" s="138"/>
    </row>
    <row r="231" spans="1:6" ht="14.45" customHeight="1">
      <c r="A231" s="270"/>
      <c r="B231" s="703" t="s">
        <v>328</v>
      </c>
      <c r="D231" s="974" t="s">
        <v>1336</v>
      </c>
      <c r="E231" s="974"/>
      <c r="F231" s="974"/>
    </row>
    <row r="232" spans="1:6">
      <c r="D232" s="974"/>
      <c r="E232" s="974"/>
      <c r="F232" s="974"/>
    </row>
    <row r="233" spans="1:6">
      <c r="D233" s="985" t="s">
        <v>983</v>
      </c>
      <c r="E233" s="985"/>
      <c r="F233" s="985"/>
    </row>
    <row r="234" spans="1:6">
      <c r="D234" s="138"/>
      <c r="E234" s="138"/>
      <c r="F234" s="138"/>
    </row>
    <row r="235" spans="1:6" ht="14.45" customHeight="1">
      <c r="A235" s="270"/>
      <c r="B235" s="703" t="s">
        <v>328</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328</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222</v>
      </c>
      <c r="E250" s="983"/>
      <c r="F250" s="983"/>
    </row>
    <row r="251" spans="1:7" ht="15.75" customHeight="1">
      <c r="A251" s="270"/>
      <c r="B251" s="270"/>
      <c r="D251" s="991" t="s">
        <v>1340</v>
      </c>
      <c r="E251" s="991"/>
      <c r="F251" s="991"/>
    </row>
    <row r="252" spans="1:7">
      <c r="E252" s="138"/>
      <c r="F252" s="138"/>
    </row>
    <row r="253" spans="1:7" ht="14.25">
      <c r="A253" s="270"/>
      <c r="B253" s="703" t="s">
        <v>328</v>
      </c>
      <c r="D253" s="960" t="s">
        <v>1341</v>
      </c>
      <c r="E253" s="960"/>
      <c r="F253" s="960"/>
    </row>
    <row r="254" spans="1:7" ht="14.25">
      <c r="A254" s="270"/>
      <c r="B254" s="270"/>
      <c r="D254" s="960"/>
      <c r="E254" s="960"/>
      <c r="F254" s="960"/>
    </row>
    <row r="255" spans="1:7">
      <c r="D255" s="138"/>
      <c r="E255" s="138"/>
      <c r="F255" s="138"/>
    </row>
    <row r="256" spans="1:7" ht="14.25">
      <c r="A256" s="270"/>
      <c r="B256" s="703" t="s">
        <v>328</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328</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735</v>
      </c>
      <c r="E265" s="983"/>
      <c r="F265" s="983"/>
    </row>
    <row r="266" spans="1:7">
      <c r="C266" s="23"/>
      <c r="D266" s="973" t="s">
        <v>1344</v>
      </c>
      <c r="E266" s="973"/>
      <c r="F266" s="973"/>
    </row>
    <row r="267" spans="1:7">
      <c r="C267" s="23"/>
      <c r="D267" s="268"/>
    </row>
    <row r="268" spans="1:7">
      <c r="A268" s="282"/>
      <c r="B268" s="703" t="s">
        <v>328</v>
      </c>
      <c r="D268" s="973" t="s">
        <v>1345</v>
      </c>
      <c r="E268" s="973"/>
      <c r="F268" s="973"/>
    </row>
    <row r="269" spans="1:7" s="39" customFormat="1" ht="14.25">
      <c r="A269" s="420"/>
      <c r="B269" s="420"/>
      <c r="C269" s="282"/>
      <c r="D269" s="514"/>
      <c r="E269" s="515"/>
      <c r="F269" s="515"/>
      <c r="G269" s="133"/>
    </row>
    <row r="270" spans="1:7" s="39" customFormat="1" ht="13.35" customHeight="1">
      <c r="A270" s="282"/>
      <c r="B270" s="703" t="s">
        <v>328</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35" customHeight="1">
      <c r="A276" s="282"/>
      <c r="B276" s="703" t="s">
        <v>328</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328</v>
      </c>
      <c r="D279" s="973" t="s">
        <v>1348</v>
      </c>
      <c r="E279" s="973"/>
      <c r="F279" s="973"/>
    </row>
    <row r="280" spans="1:7">
      <c r="E280" s="138"/>
      <c r="F280" s="138"/>
    </row>
    <row r="281" spans="1:7" ht="14.25">
      <c r="A281" s="270"/>
      <c r="B281" s="703" t="s">
        <v>328</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328</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328</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328</v>
      </c>
      <c r="C317" s="335"/>
      <c r="D317" s="994" t="s">
        <v>1353</v>
      </c>
      <c r="E317" s="994"/>
      <c r="F317" s="994"/>
      <c r="G317" s="12"/>
    </row>
    <row r="318" spans="1:7">
      <c r="A318" s="335"/>
      <c r="B318" s="335"/>
      <c r="C318" s="335"/>
      <c r="D318" s="484"/>
      <c r="E318" s="484"/>
      <c r="F318" s="138"/>
      <c r="G318" s="12"/>
    </row>
    <row r="319" spans="1:7">
      <c r="A319" s="335"/>
      <c r="B319" s="703" t="s">
        <v>328</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328</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3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328</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328</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328</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328</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328</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328</v>
      </c>
      <c r="C416" s="270"/>
      <c r="D416" s="974" t="s">
        <v>1364</v>
      </c>
      <c r="E416" s="974"/>
      <c r="F416" s="974"/>
      <c r="G416" s="12"/>
    </row>
    <row r="417" spans="1:7">
      <c r="D417" s="974"/>
      <c r="E417" s="974"/>
      <c r="F417" s="974"/>
      <c r="G417" s="12"/>
    </row>
    <row r="418" spans="1:7">
      <c r="D418" s="138"/>
      <c r="E418" s="138"/>
      <c r="F418" s="138"/>
      <c r="G418" s="12"/>
    </row>
    <row r="419" spans="1:7" ht="14.25">
      <c r="B419" s="703" t="s">
        <v>328</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328</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328</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328</v>
      </c>
      <c r="C430" s="12"/>
      <c r="D430" s="974"/>
      <c r="E430" s="974"/>
      <c r="F430" s="974"/>
      <c r="G430" s="12"/>
    </row>
    <row r="431" spans="1:7">
      <c r="A431" s="12"/>
      <c r="B431" s="12"/>
      <c r="C431" s="12"/>
      <c r="D431" s="974"/>
      <c r="E431" s="974"/>
      <c r="F431" s="974"/>
      <c r="G431" s="12"/>
    </row>
    <row r="432" spans="1:7">
      <c r="A432" s="12"/>
      <c r="B432" s="703" t="s">
        <v>328</v>
      </c>
      <c r="C432" s="12"/>
      <c r="D432" s="974"/>
      <c r="E432" s="974"/>
      <c r="F432" s="974"/>
      <c r="G432" s="12"/>
    </row>
    <row r="433" spans="1:7" s="743" customFormat="1">
      <c r="D433" s="753"/>
      <c r="E433" s="753"/>
      <c r="F433" s="753"/>
    </row>
    <row r="434" spans="1:7">
      <c r="A434" s="12"/>
      <c r="B434" s="742" t="s">
        <v>328</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328</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977</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328</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328</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328</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73" t="s">
        <v>1372</v>
      </c>
      <c r="E459" s="973"/>
      <c r="F459" s="973"/>
      <c r="G459" s="12"/>
    </row>
    <row r="460" spans="1:7" ht="14.25">
      <c r="A460" s="270"/>
      <c r="B460" s="270"/>
      <c r="D460" s="754"/>
      <c r="E460" s="6"/>
      <c r="F460" s="6"/>
      <c r="G460" s="12"/>
    </row>
    <row r="461" spans="1:7" ht="14.25">
      <c r="A461" s="270"/>
      <c r="B461" s="703" t="s">
        <v>328</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328</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874</v>
      </c>
      <c r="E468" s="981"/>
      <c r="F468" s="981"/>
      <c r="G468" s="187"/>
    </row>
    <row r="469" spans="1:7" customFormat="1" ht="13.3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328</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328</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328</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35" customHeight="1">
      <c r="A500" s="504"/>
      <c r="B500" s="703" t="s">
        <v>328</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328</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483</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736</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35" customHeight="1">
      <c r="A519" s="270"/>
      <c r="B519" s="703" t="s">
        <v>328</v>
      </c>
      <c r="C519" s="275"/>
      <c r="D519" s="973" t="s">
        <v>978</v>
      </c>
      <c r="E519" s="973"/>
      <c r="F519" s="973"/>
      <c r="G519" s="12"/>
    </row>
    <row r="520" spans="1:7" ht="13.35" customHeight="1">
      <c r="A520" s="275"/>
      <c r="B520" s="275"/>
      <c r="C520" s="275"/>
      <c r="D520" s="728"/>
      <c r="E520" s="701"/>
      <c r="F520" s="701"/>
      <c r="G520" s="12"/>
    </row>
    <row r="521" spans="1:7" ht="14.25">
      <c r="A521" s="270"/>
      <c r="B521" s="703" t="s">
        <v>328</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328</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328</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328</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328</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328</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328</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328</v>
      </c>
      <c r="C543" s="275"/>
      <c r="D543" s="973" t="s">
        <v>1275</v>
      </c>
      <c r="E543" s="973"/>
      <c r="F543" s="973"/>
      <c r="G543" s="57"/>
    </row>
    <row r="544" spans="1:7">
      <c r="A544" s="23"/>
      <c r="B544" s="699"/>
      <c r="C544" s="275"/>
      <c r="D544" s="973" t="s">
        <v>904</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328</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328</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224</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328</v>
      </c>
      <c r="D562" s="1003" t="s">
        <v>984</v>
      </c>
      <c r="E562" s="1003"/>
      <c r="F562" s="1003"/>
      <c r="G562" s="57"/>
    </row>
    <row r="563" spans="1:7">
      <c r="A563" s="23"/>
      <c r="B563" s="699"/>
      <c r="D563" s="335"/>
    </row>
    <row r="564" spans="1:7">
      <c r="A564" s="23"/>
      <c r="B564" s="703" t="s">
        <v>328</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328</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328</v>
      </c>
      <c r="D573" s="979" t="s">
        <v>1231</v>
      </c>
      <c r="E573" s="979"/>
      <c r="F573" s="979"/>
    </row>
    <row r="574" spans="1:7">
      <c r="A574" s="23"/>
      <c r="B574" s="699"/>
      <c r="D574" s="979"/>
      <c r="E574" s="979"/>
      <c r="F574" s="979"/>
    </row>
    <row r="575" spans="1:7">
      <c r="A575" s="23"/>
      <c r="B575" s="699"/>
      <c r="D575" s="393"/>
    </row>
    <row r="576" spans="1:7" s="706" customFormat="1">
      <c r="A576" s="712"/>
      <c r="B576" s="703" t="s">
        <v>328</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328</v>
      </c>
      <c r="D579" s="1003" t="s">
        <v>979</v>
      </c>
      <c r="E579" s="1003"/>
      <c r="F579" s="1003"/>
    </row>
    <row r="580" spans="1:7" ht="14.25">
      <c r="A580" s="270"/>
      <c r="B580" s="270"/>
      <c r="D580" s="393"/>
    </row>
    <row r="581" spans="1:7" ht="14.25">
      <c r="A581" s="270"/>
      <c r="B581" s="703" t="s">
        <v>328</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328</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328</v>
      </c>
      <c r="D603" s="1036" t="s">
        <v>466</v>
      </c>
      <c r="E603" s="1036"/>
      <c r="F603" s="1036"/>
      <c r="G603" s="57"/>
    </row>
    <row r="604" spans="1:7">
      <c r="C604" s="277"/>
      <c r="E604" s="12"/>
      <c r="G604" s="57"/>
    </row>
    <row r="605" spans="1:7">
      <c r="A605" s="23"/>
      <c r="B605" s="703" t="s">
        <v>328</v>
      </c>
      <c r="D605" s="996" t="s">
        <v>1318</v>
      </c>
      <c r="E605" s="996"/>
      <c r="F605" s="996"/>
      <c r="G605" s="57"/>
    </row>
    <row r="606" spans="1:7">
      <c r="D606" s="996"/>
      <c r="E606" s="996"/>
      <c r="F606" s="996"/>
      <c r="G606" s="57"/>
    </row>
    <row r="607" spans="1:7">
      <c r="D607" s="12"/>
      <c r="G607" s="57"/>
    </row>
    <row r="608" spans="1:7">
      <c r="B608" s="703" t="s">
        <v>328</v>
      </c>
      <c r="D608" s="996" t="s">
        <v>1319</v>
      </c>
      <c r="E608" s="996"/>
      <c r="F608" s="996"/>
      <c r="G608" s="57"/>
    </row>
    <row r="609" spans="1:7">
      <c r="C609" s="277"/>
      <c r="D609" s="996"/>
      <c r="E609" s="996"/>
      <c r="F609" s="996"/>
      <c r="G609" s="57"/>
    </row>
    <row r="610" spans="1:7">
      <c r="C610" s="277"/>
      <c r="G610" s="57"/>
    </row>
    <row r="611" spans="1:7">
      <c r="B611" s="703" t="s">
        <v>328</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328</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328</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328</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328</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5" customHeight="1">
      <c r="A640" s="270"/>
      <c r="B640" s="703" t="s">
        <v>328</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328</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3" t="s">
        <v>980</v>
      </c>
      <c r="E660" s="973"/>
      <c r="F660" s="973"/>
      <c r="G660" s="57"/>
      <c r="H660" s="278"/>
      <c r="I660" s="278"/>
      <c r="J660" s="278"/>
      <c r="K660" s="278"/>
    </row>
    <row r="661" spans="1:11">
      <c r="A661" s="269"/>
      <c r="B661" s="269"/>
      <c r="C661" s="269"/>
      <c r="D661" s="973" t="s">
        <v>991</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3" t="s">
        <v>1021</v>
      </c>
      <c r="E669" s="973"/>
      <c r="F669" s="973"/>
      <c r="G669" s="57"/>
      <c r="H669" s="278"/>
      <c r="I669" s="278"/>
      <c r="J669" s="278"/>
      <c r="K669" s="278"/>
    </row>
    <row r="670" spans="1:11" ht="14.25">
      <c r="A670" s="270"/>
      <c r="B670" s="270"/>
      <c r="C670" s="269"/>
      <c r="D670" s="973" t="s">
        <v>991</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3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75"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328</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328</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484</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485</v>
      </c>
      <c r="B766" s="1029"/>
      <c r="C766" s="1029"/>
      <c r="D766" s="1029"/>
      <c r="E766" s="1029"/>
      <c r="F766" s="1029"/>
      <c r="G766" s="1029"/>
    </row>
    <row r="767" spans="1:11">
      <c r="A767" s="264"/>
      <c r="B767" s="697"/>
      <c r="C767" s="264"/>
      <c r="D767" s="272"/>
      <c r="G767" s="280"/>
    </row>
    <row r="768" spans="1:11">
      <c r="A768" s="138"/>
      <c r="B768" s="975" t="s">
        <v>483</v>
      </c>
      <c r="C768" s="975"/>
      <c r="D768" s="975"/>
      <c r="E768" s="975"/>
      <c r="F768" s="975"/>
      <c r="G768" s="280"/>
    </row>
    <row r="769" spans="1:7" ht="14.25">
      <c r="A769" s="270"/>
      <c r="B769" s="270"/>
      <c r="D769" s="138"/>
      <c r="E769" s="138"/>
      <c r="F769" s="280"/>
      <c r="G769" s="280"/>
    </row>
    <row r="770" spans="1:7">
      <c r="A770" s="1029" t="s">
        <v>486</v>
      </c>
      <c r="B770" s="1029"/>
      <c r="C770" s="1029"/>
      <c r="D770" s="1029"/>
      <c r="E770" s="1029"/>
      <c r="F770" s="1029"/>
      <c r="G770" s="1029"/>
    </row>
    <row r="771" spans="1:7">
      <c r="C771" s="269"/>
      <c r="D771" s="268"/>
      <c r="E771" s="138"/>
      <c r="F771" s="280"/>
      <c r="G771" s="280"/>
    </row>
    <row r="772" spans="1:7">
      <c r="A772" s="138"/>
      <c r="B772" s="975" t="s">
        <v>483</v>
      </c>
      <c r="C772" s="975"/>
      <c r="D772" s="975"/>
      <c r="E772" s="975"/>
      <c r="F772" s="975"/>
      <c r="G772" s="280"/>
    </row>
    <row r="773" spans="1:7">
      <c r="A773" s="138"/>
      <c r="B773" s="138"/>
      <c r="C773" s="275"/>
      <c r="D773" s="280"/>
      <c r="E773" s="280"/>
      <c r="F773" s="280"/>
      <c r="G773" s="280"/>
    </row>
    <row r="774" spans="1:7">
      <c r="A774" s="1029" t="s">
        <v>487</v>
      </c>
      <c r="B774" s="1029"/>
      <c r="C774" s="1029"/>
      <c r="D774" s="1029"/>
      <c r="E774" s="1029"/>
      <c r="F774" s="1029"/>
      <c r="G774" s="1029"/>
    </row>
    <row r="775" spans="1:7">
      <c r="A775" s="138"/>
      <c r="B775" s="138"/>
    </row>
    <row r="776" spans="1:7">
      <c r="A776" s="138"/>
      <c r="B776" s="975" t="s">
        <v>483</v>
      </c>
      <c r="C776" s="975"/>
      <c r="D776" s="975"/>
      <c r="E776" s="975"/>
      <c r="F776" s="975"/>
    </row>
    <row r="777" spans="1:7">
      <c r="A777" s="275"/>
      <c r="B777" s="275"/>
      <c r="C777" s="275"/>
      <c r="D777" s="267"/>
      <c r="F777" s="280"/>
    </row>
    <row r="778" spans="1:7">
      <c r="A778" s="1029" t="s">
        <v>488</v>
      </c>
      <c r="B778" s="1029"/>
      <c r="C778" s="1029"/>
      <c r="D778" s="1029"/>
      <c r="E778" s="1029"/>
      <c r="F778" s="1029"/>
      <c r="G778" s="1029"/>
    </row>
    <row r="779" spans="1:7">
      <c r="A779" s="138"/>
      <c r="B779" s="138"/>
    </row>
    <row r="780" spans="1:7">
      <c r="A780" s="138"/>
      <c r="B780" s="975" t="s">
        <v>483</v>
      </c>
      <c r="C780" s="975"/>
      <c r="D780" s="975"/>
      <c r="E780" s="975"/>
      <c r="F780" s="975"/>
    </row>
    <row r="781" spans="1:7">
      <c r="A781" s="275"/>
      <c r="B781" s="275"/>
      <c r="C781" s="275"/>
      <c r="D781" s="267"/>
      <c r="F781" s="280"/>
    </row>
    <row r="782" spans="1:7">
      <c r="A782" s="1029" t="s">
        <v>489</v>
      </c>
      <c r="B782" s="1029"/>
      <c r="C782" s="1029"/>
      <c r="D782" s="1029"/>
      <c r="E782" s="1029"/>
      <c r="F782" s="1029"/>
      <c r="G782" s="1029"/>
    </row>
    <row r="783" spans="1:7">
      <c r="A783" s="138"/>
      <c r="B783" s="138"/>
    </row>
    <row r="784" spans="1:7">
      <c r="A784" s="138"/>
      <c r="B784" s="975" t="s">
        <v>483</v>
      </c>
      <c r="C784" s="975"/>
      <c r="D784" s="975"/>
      <c r="E784" s="975"/>
      <c r="F784" s="975"/>
    </row>
    <row r="785" spans="1:7">
      <c r="A785" s="274"/>
      <c r="B785" s="274"/>
      <c r="C785" s="274"/>
      <c r="D785" s="286"/>
      <c r="E785" s="57"/>
      <c r="F785" s="57"/>
      <c r="G785" s="57"/>
    </row>
    <row r="786" spans="1:7">
      <c r="A786" s="1029" t="s">
        <v>199</v>
      </c>
      <c r="B786" s="1029"/>
      <c r="C786" s="1029"/>
      <c r="D786" s="1029"/>
      <c r="E786" s="1029"/>
      <c r="F786" s="1029"/>
      <c r="G786" s="1029"/>
    </row>
    <row r="787" spans="1:7">
      <c r="A787" s="138"/>
      <c r="B787" s="138"/>
    </row>
    <row r="788" spans="1:7">
      <c r="A788" s="138"/>
      <c r="B788" s="975" t="s">
        <v>483</v>
      </c>
      <c r="C788" s="975"/>
      <c r="D788" s="975"/>
      <c r="E788" s="975"/>
      <c r="F788" s="975"/>
    </row>
    <row r="789" spans="1:7">
      <c r="A789" s="138"/>
      <c r="B789" s="138"/>
      <c r="D789" s="267"/>
    </row>
    <row r="790" spans="1:7">
      <c r="A790" s="1029" t="s">
        <v>967</v>
      </c>
      <c r="B790" s="1029"/>
      <c r="C790" s="1029"/>
      <c r="D790" s="1029"/>
      <c r="E790" s="1029"/>
      <c r="F790" s="1029"/>
      <c r="G790" s="1029"/>
    </row>
    <row r="791" spans="1:7">
      <c r="A791" s="138"/>
      <c r="B791" s="138"/>
    </row>
    <row r="792" spans="1:7">
      <c r="A792" s="138"/>
      <c r="B792" s="975" t="s">
        <v>483</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1199</v>
      </c>
    </row>
    <row r="4" spans="1:9">
      <c r="A4" s="1059" t="s">
        <v>1563</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328</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328</v>
      </c>
      <c r="D19" s="1024" t="s">
        <v>1282</v>
      </c>
      <c r="E19" s="1024"/>
      <c r="F19" s="1024"/>
    </row>
    <row r="20" spans="1:7" ht="14.25">
      <c r="A20" s="822"/>
      <c r="B20" s="822"/>
      <c r="D20" s="825"/>
    </row>
    <row r="21" spans="1:7" ht="14.25">
      <c r="A21" s="822"/>
      <c r="B21" s="823" t="s">
        <v>328</v>
      </c>
      <c r="D21" s="998" t="s">
        <v>1283</v>
      </c>
      <c r="E21" s="998"/>
      <c r="F21" s="998"/>
    </row>
    <row r="22" spans="1:7" ht="14.25">
      <c r="A22" s="822"/>
      <c r="B22" s="822"/>
      <c r="D22" s="998"/>
      <c r="E22" s="998"/>
      <c r="F22" s="998"/>
    </row>
    <row r="23" spans="1:7"/>
    <row r="24" spans="1:7" ht="14.25">
      <c r="A24" s="822"/>
      <c r="B24" s="823" t="s">
        <v>328</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328</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328</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328</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328</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328</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328</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328</v>
      </c>
      <c r="D56" s="999" t="s">
        <v>1291</v>
      </c>
      <c r="E56" s="999"/>
      <c r="F56" s="999"/>
    </row>
    <row r="57" spans="1:7">
      <c r="D57" s="999"/>
      <c r="E57" s="999"/>
      <c r="F57" s="999"/>
    </row>
    <row r="58" spans="1:7">
      <c r="D58" s="999"/>
      <c r="E58" s="999"/>
      <c r="F58" s="999"/>
    </row>
    <row r="59" spans="1:7">
      <c r="D59" s="717"/>
    </row>
    <row r="60" spans="1:7" ht="14.25">
      <c r="A60" s="822"/>
      <c r="B60" s="823" t="s">
        <v>328</v>
      </c>
      <c r="D60" s="999" t="s">
        <v>1292</v>
      </c>
      <c r="E60" s="999"/>
      <c r="F60" s="999"/>
    </row>
    <row r="61" spans="1:7">
      <c r="D61" s="999"/>
      <c r="E61" s="999"/>
      <c r="F61" s="999"/>
    </row>
    <row r="62" spans="1:7"/>
    <row r="63" spans="1:7" ht="14.25">
      <c r="A63" s="822"/>
      <c r="B63" s="823" t="s">
        <v>328</v>
      </c>
      <c r="D63" s="999" t="s">
        <v>1293</v>
      </c>
      <c r="E63" s="999"/>
      <c r="F63" s="999"/>
    </row>
    <row r="64" spans="1:7">
      <c r="D64" s="999"/>
      <c r="E64" s="999"/>
      <c r="F64" s="999"/>
    </row>
    <row r="65" spans="1:7">
      <c r="D65" s="999"/>
      <c r="E65" s="999"/>
      <c r="F65" s="999"/>
    </row>
    <row r="66" spans="1:7">
      <c r="D66" s="815"/>
    </row>
    <row r="67" spans="1:7" ht="14.25">
      <c r="A67" s="822"/>
      <c r="B67" s="823" t="s">
        <v>328</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7" customHeight="1">
      <c r="A75" s="822"/>
      <c r="B75" s="823" t="s">
        <v>328</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328</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328</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328</v>
      </c>
      <c r="C118" s="829"/>
      <c r="D118" s="999" t="s">
        <v>1305</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7" t="s">
        <v>1413</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328</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8" t="s">
        <v>1307</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483</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328</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328</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221</v>
      </c>
      <c r="E189" s="1061"/>
      <c r="F189" s="1061"/>
    </row>
    <row r="190" spans="1:7">
      <c r="A190" s="818"/>
      <c r="B190" s="818"/>
      <c r="C190" s="818"/>
      <c r="D190" s="1075" t="s">
        <v>1333</v>
      </c>
      <c r="E190" s="1075"/>
      <c r="F190" s="1075"/>
    </row>
    <row r="191" spans="1:7" ht="12" customHeight="1">
      <c r="A191" s="841"/>
      <c r="B191" s="841"/>
      <c r="C191" s="841"/>
    </row>
    <row r="192" spans="1:7" ht="13.7" customHeight="1">
      <c r="A192" s="841"/>
      <c r="C192" s="841"/>
      <c r="D192" s="997" t="s">
        <v>592</v>
      </c>
      <c r="E192" s="997"/>
      <c r="F192" s="997"/>
    </row>
    <row r="193" spans="1:6" ht="14.25">
      <c r="A193" s="822"/>
      <c r="B193" s="823" t="s">
        <v>328</v>
      </c>
      <c r="D193" s="998" t="s">
        <v>1328</v>
      </c>
      <c r="E193" s="998"/>
      <c r="F193" s="998"/>
    </row>
    <row r="194" spans="1:6" ht="14.25">
      <c r="A194" s="822"/>
      <c r="B194" s="822"/>
      <c r="D194" s="998"/>
      <c r="E194" s="998"/>
      <c r="F194" s="998"/>
    </row>
    <row r="195" spans="1:6" ht="14.25">
      <c r="A195" s="822"/>
      <c r="B195" s="822"/>
      <c r="D195" s="998"/>
      <c r="E195" s="998"/>
      <c r="F195" s="998"/>
    </row>
    <row r="196" spans="1:6" ht="5.25"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328</v>
      </c>
      <c r="D203" s="1070" t="s">
        <v>1330</v>
      </c>
      <c r="E203" s="1070"/>
      <c r="F203" s="1070"/>
    </row>
    <row r="204" spans="1:6" ht="14.25">
      <c r="A204" s="822"/>
      <c r="B204" s="822"/>
      <c r="D204" s="1070"/>
      <c r="E204" s="1070"/>
      <c r="F204" s="1070"/>
    </row>
    <row r="205" spans="1:6" ht="14.25">
      <c r="A205" s="822"/>
      <c r="B205" s="822"/>
      <c r="D205" s="1062" t="s">
        <v>992</v>
      </c>
      <c r="E205" s="1062"/>
      <c r="F205" s="1062"/>
    </row>
    <row r="206" spans="1:6" ht="14.25">
      <c r="A206" s="822"/>
      <c r="B206" s="822"/>
      <c r="D206" s="825"/>
      <c r="E206" s="825"/>
      <c r="F206" s="825"/>
    </row>
    <row r="207" spans="1:6" ht="14.45" customHeight="1">
      <c r="A207" s="822"/>
      <c r="B207" s="823" t="s">
        <v>328</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328</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284</v>
      </c>
      <c r="E220" s="997"/>
      <c r="F220" s="997"/>
    </row>
    <row r="221" spans="1:7" ht="14.45" customHeight="1">
      <c r="A221" s="822"/>
      <c r="B221" s="823" t="s">
        <v>328</v>
      </c>
      <c r="D221" s="1072" t="s">
        <v>1448</v>
      </c>
      <c r="E221" s="1072"/>
      <c r="F221" s="1072"/>
    </row>
    <row r="222" spans="1:7">
      <c r="D222" s="1072"/>
      <c r="E222" s="1072"/>
      <c r="F222" s="1072"/>
    </row>
    <row r="223" spans="1:7">
      <c r="D223" s="1075" t="s">
        <v>983</v>
      </c>
      <c r="E223" s="1075"/>
      <c r="F223" s="1075"/>
    </row>
    <row r="224" spans="1:7">
      <c r="D224" s="825"/>
      <c r="E224" s="825"/>
      <c r="F224" s="825"/>
    </row>
    <row r="225" spans="1:7" ht="14.45" customHeight="1">
      <c r="A225" s="822"/>
      <c r="B225" s="823" t="s">
        <v>328</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328</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222</v>
      </c>
      <c r="E240" s="997"/>
      <c r="F240" s="997"/>
    </row>
    <row r="241" spans="1:7" ht="15.75" customHeight="1">
      <c r="A241" s="822"/>
      <c r="B241" s="822"/>
      <c r="D241" s="1053" t="s">
        <v>1340</v>
      </c>
      <c r="E241" s="1053"/>
      <c r="F241" s="1053"/>
    </row>
    <row r="242" spans="1:7">
      <c r="E242" s="825"/>
      <c r="F242" s="825"/>
    </row>
    <row r="243" spans="1:7" ht="14.25">
      <c r="A243" s="822"/>
      <c r="B243" s="823" t="s">
        <v>328</v>
      </c>
      <c r="D243" s="998" t="s">
        <v>1341</v>
      </c>
      <c r="E243" s="998"/>
      <c r="F243" s="998"/>
    </row>
    <row r="244" spans="1:7" ht="14.25">
      <c r="A244" s="822"/>
      <c r="B244" s="822"/>
      <c r="D244" s="998"/>
      <c r="E244" s="998"/>
      <c r="F244" s="998"/>
    </row>
    <row r="245" spans="1:7">
      <c r="D245" s="825"/>
      <c r="E245" s="825"/>
      <c r="F245" s="825"/>
    </row>
    <row r="246" spans="1:7" ht="14.25">
      <c r="A246" s="822"/>
      <c r="B246" s="823" t="s">
        <v>328</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328</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735</v>
      </c>
      <c r="E255" s="997"/>
      <c r="F255" s="997"/>
    </row>
    <row r="256" spans="1:7">
      <c r="C256" s="841"/>
      <c r="D256" s="1000" t="s">
        <v>1344</v>
      </c>
      <c r="E256" s="1000"/>
      <c r="F256" s="1000"/>
    </row>
    <row r="257" spans="1:7">
      <c r="C257" s="841"/>
      <c r="D257" s="848"/>
    </row>
    <row r="258" spans="1:7">
      <c r="A258" s="826"/>
      <c r="B258" s="823" t="s">
        <v>328</v>
      </c>
      <c r="D258" s="1000" t="s">
        <v>1345</v>
      </c>
      <c r="E258" s="1000"/>
      <c r="F258" s="1000"/>
    </row>
    <row r="259" spans="1:7" s="816" customFormat="1" ht="14.25">
      <c r="A259" s="830"/>
      <c r="B259" s="830"/>
      <c r="C259" s="826"/>
      <c r="D259" s="849"/>
      <c r="E259" s="850"/>
      <c r="F259" s="850"/>
      <c r="G259" s="827"/>
    </row>
    <row r="260" spans="1:7" s="816" customFormat="1" ht="13.7" customHeight="1">
      <c r="A260" s="826"/>
      <c r="B260" s="823" t="s">
        <v>328</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328</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328</v>
      </c>
      <c r="D269" s="1000" t="s">
        <v>1348</v>
      </c>
      <c r="E269" s="1000"/>
      <c r="F269" s="1000"/>
    </row>
    <row r="270" spans="1:7">
      <c r="E270" s="825"/>
      <c r="F270" s="825"/>
    </row>
    <row r="271" spans="1:7" ht="14.25">
      <c r="A271" s="822"/>
      <c r="B271" s="823" t="s">
        <v>328</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328</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328</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328</v>
      </c>
      <c r="C307" s="839"/>
      <c r="D307" s="994" t="s">
        <v>1353</v>
      </c>
      <c r="E307" s="994"/>
      <c r="F307" s="994"/>
      <c r="G307" s="815"/>
    </row>
    <row r="308" spans="1:7">
      <c r="A308" s="839"/>
      <c r="B308" s="839"/>
      <c r="C308" s="839"/>
      <c r="D308" s="811"/>
      <c r="E308" s="811"/>
      <c r="F308" s="825"/>
      <c r="G308" s="815"/>
    </row>
    <row r="309" spans="1:7">
      <c r="A309" s="839"/>
      <c r="B309" s="823" t="s">
        <v>328</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6" customHeight="1">
      <c r="A321" s="839"/>
      <c r="B321" s="823" t="s">
        <v>328</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328</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328</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328</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328</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328</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328</v>
      </c>
      <c r="C406" s="854"/>
      <c r="D406" s="1000" t="s">
        <v>1361</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328</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328</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328</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328</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328</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328</v>
      </c>
      <c r="C430" s="815"/>
      <c r="D430" s="1070"/>
      <c r="E430" s="1070"/>
      <c r="F430" s="1070"/>
      <c r="G430" s="815"/>
    </row>
    <row r="431" spans="1:7">
      <c r="A431" s="815"/>
      <c r="B431" s="815"/>
      <c r="C431" s="815"/>
      <c r="D431" s="1070"/>
      <c r="E431" s="1070"/>
      <c r="F431" s="1070"/>
      <c r="G431" s="815"/>
    </row>
    <row r="432" spans="1:7">
      <c r="A432" s="815"/>
      <c r="B432" s="823" t="s">
        <v>328</v>
      </c>
      <c r="C432" s="815"/>
      <c r="D432" s="1070"/>
      <c r="E432" s="1070"/>
      <c r="F432" s="1070"/>
      <c r="G432" s="815"/>
    </row>
    <row r="433" spans="1:7">
      <c r="A433" s="815"/>
      <c r="B433" s="815"/>
      <c r="C433" s="815"/>
      <c r="D433" s="857"/>
      <c r="E433" s="857"/>
      <c r="F433" s="857"/>
      <c r="G433" s="815"/>
    </row>
    <row r="434" spans="1:7">
      <c r="A434" s="815"/>
      <c r="B434" s="823" t="s">
        <v>328</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328</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977</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328</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328</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328</v>
      </c>
      <c r="D455" s="1000" t="s">
        <v>1372</v>
      </c>
      <c r="E455" s="1000"/>
      <c r="F455" s="1000"/>
      <c r="G455" s="815"/>
    </row>
    <row r="456" spans="1:7" ht="14.25">
      <c r="A456" s="822"/>
      <c r="B456" s="822"/>
      <c r="D456" s="810"/>
      <c r="E456" s="696"/>
      <c r="F456" s="696"/>
      <c r="G456" s="815"/>
    </row>
    <row r="457" spans="1:7" ht="14.25">
      <c r="A457" s="822"/>
      <c r="B457" s="823" t="s">
        <v>328</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328</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874</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328</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328</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328</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328</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35" customHeight="1">
      <c r="A502" s="820"/>
      <c r="B502" s="823" t="s">
        <v>328</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328</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483</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736</v>
      </c>
      <c r="E515" s="997"/>
      <c r="F515" s="997"/>
    </row>
    <row r="516" spans="1:7">
      <c r="C516" s="854"/>
      <c r="D516" s="1000" t="s">
        <v>1268</v>
      </c>
      <c r="E516" s="1000"/>
      <c r="F516" s="1000"/>
    </row>
    <row r="517" spans="1:7">
      <c r="C517" s="854"/>
      <c r="D517" s="810"/>
      <c r="E517" s="810"/>
      <c r="F517" s="810"/>
    </row>
    <row r="518" spans="1:7" ht="13.7" customHeight="1">
      <c r="A518" s="822"/>
      <c r="B518" s="823" t="s">
        <v>328</v>
      </c>
      <c r="C518" s="854"/>
      <c r="D518" s="1000" t="s">
        <v>978</v>
      </c>
      <c r="E518" s="1000"/>
      <c r="F518" s="1000"/>
      <c r="G518" s="815"/>
    </row>
    <row r="519" spans="1:7" ht="13.7" customHeight="1">
      <c r="A519" s="854"/>
      <c r="B519" s="854"/>
      <c r="C519" s="854"/>
      <c r="D519" s="810"/>
      <c r="E519" s="642"/>
      <c r="F519" s="642"/>
      <c r="G519" s="815"/>
    </row>
    <row r="520" spans="1:7" ht="14.25">
      <c r="A520" s="822"/>
      <c r="B520" s="823" t="s">
        <v>328</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328</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328</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328</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328</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328</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328</v>
      </c>
      <c r="C539" s="854"/>
      <c r="D539" s="1000" t="s">
        <v>1275</v>
      </c>
      <c r="E539" s="1000"/>
      <c r="F539" s="1000"/>
      <c r="G539" s="844"/>
    </row>
    <row r="540" spans="1:7">
      <c r="A540" s="841"/>
      <c r="B540" s="841"/>
      <c r="C540" s="854"/>
      <c r="D540" s="1000" t="s">
        <v>904</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328</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328</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224</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328</v>
      </c>
      <c r="D558" s="1003" t="s">
        <v>984</v>
      </c>
      <c r="E558" s="1003"/>
      <c r="F558" s="1003"/>
      <c r="G558" s="844"/>
    </row>
    <row r="559" spans="1:7">
      <c r="A559" s="841"/>
      <c r="B559" s="841"/>
      <c r="D559" s="839"/>
    </row>
    <row r="560" spans="1:7">
      <c r="A560" s="841"/>
      <c r="B560" s="823" t="s">
        <v>328</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328</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328</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328</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328</v>
      </c>
      <c r="D575" s="1003" t="s">
        <v>979</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328</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328</v>
      </c>
      <c r="D592" s="1036" t="s">
        <v>466</v>
      </c>
      <c r="E592" s="1036"/>
      <c r="F592" s="1036"/>
      <c r="G592" s="844"/>
    </row>
    <row r="593" spans="1:7">
      <c r="C593" s="866"/>
      <c r="E593" s="815"/>
      <c r="G593" s="844"/>
    </row>
    <row r="594" spans="1:7">
      <c r="A594" s="841"/>
      <c r="B594" s="823" t="s">
        <v>328</v>
      </c>
      <c r="D594" s="996" t="s">
        <v>1318</v>
      </c>
      <c r="E594" s="996"/>
      <c r="F594" s="996"/>
      <c r="G594" s="844"/>
    </row>
    <row r="595" spans="1:7">
      <c r="D595" s="996"/>
      <c r="E595" s="996"/>
      <c r="F595" s="996"/>
      <c r="G595" s="844"/>
    </row>
    <row r="596" spans="1:7">
      <c r="D596" s="815"/>
      <c r="G596" s="844"/>
    </row>
    <row r="597" spans="1:7">
      <c r="B597" s="823" t="s">
        <v>328</v>
      </c>
      <c r="D597" s="996" t="s">
        <v>1319</v>
      </c>
      <c r="E597" s="996"/>
      <c r="F597" s="996"/>
      <c r="G597" s="844"/>
    </row>
    <row r="598" spans="1:7">
      <c r="C598" s="866"/>
      <c r="D598" s="996"/>
      <c r="E598" s="996"/>
      <c r="F598" s="996"/>
      <c r="G598" s="844"/>
    </row>
    <row r="599" spans="1:7">
      <c r="C599" s="866"/>
      <c r="G599" s="844"/>
    </row>
    <row r="600" spans="1:7">
      <c r="B600" s="823" t="s">
        <v>328</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328</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328</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328</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328</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328</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328</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328</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328</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328</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0" t="s">
        <v>980</v>
      </c>
      <c r="E667" s="1000"/>
      <c r="F667" s="1000"/>
      <c r="G667" s="844"/>
      <c r="H667" s="869"/>
      <c r="I667" s="869"/>
      <c r="J667" s="869"/>
      <c r="K667" s="869"/>
    </row>
    <row r="668" spans="1:11">
      <c r="A668" s="820"/>
      <c r="B668" s="820"/>
      <c r="C668" s="820"/>
      <c r="D668" s="1000" t="s">
        <v>991</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0" t="s">
        <v>1021</v>
      </c>
      <c r="E676" s="1000"/>
      <c r="F676" s="1000"/>
      <c r="G676" s="844"/>
      <c r="H676" s="869"/>
      <c r="I676" s="869"/>
      <c r="J676" s="869"/>
      <c r="K676" s="869"/>
    </row>
    <row r="677" spans="1:11" ht="14.25">
      <c r="A677" s="822"/>
      <c r="B677" s="822"/>
      <c r="C677" s="820"/>
      <c r="D677" s="1000" t="s">
        <v>991</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328</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75"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328</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328</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328</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328</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328</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484</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485</v>
      </c>
      <c r="B784" s="980"/>
      <c r="C784" s="980"/>
      <c r="D784" s="980"/>
      <c r="E784" s="980"/>
      <c r="F784" s="980"/>
      <c r="G784" s="980"/>
    </row>
    <row r="785" spans="1:7">
      <c r="A785" s="818"/>
      <c r="B785" s="818"/>
      <c r="C785" s="818"/>
      <c r="D785" s="847"/>
      <c r="G785" s="874"/>
    </row>
    <row r="786" spans="1:7">
      <c r="A786" s="825"/>
      <c r="B786" s="1075" t="s">
        <v>483</v>
      </c>
      <c r="C786" s="1075"/>
      <c r="D786" s="1075"/>
      <c r="E786" s="1075"/>
      <c r="F786" s="1075"/>
      <c r="G786" s="874"/>
    </row>
    <row r="787" spans="1:7" ht="14.25">
      <c r="A787" s="822"/>
      <c r="B787" s="822"/>
      <c r="D787" s="825"/>
      <c r="E787" s="825"/>
      <c r="F787" s="874"/>
      <c r="G787" s="874"/>
    </row>
    <row r="788" spans="1:7">
      <c r="A788" s="980" t="s">
        <v>486</v>
      </c>
      <c r="B788" s="980"/>
      <c r="C788" s="980"/>
      <c r="D788" s="980"/>
      <c r="E788" s="980"/>
      <c r="F788" s="980"/>
      <c r="G788" s="980"/>
    </row>
    <row r="789" spans="1:7">
      <c r="C789" s="820"/>
      <c r="D789" s="848"/>
      <c r="E789" s="825"/>
      <c r="F789" s="874"/>
      <c r="G789" s="874"/>
    </row>
    <row r="790" spans="1:7">
      <c r="A790" s="825"/>
      <c r="B790" s="1075" t="s">
        <v>483</v>
      </c>
      <c r="C790" s="1075"/>
      <c r="D790" s="1075"/>
      <c r="E790" s="1075"/>
      <c r="F790" s="1075"/>
      <c r="G790" s="874"/>
    </row>
    <row r="791" spans="1:7">
      <c r="A791" s="825"/>
      <c r="B791" s="825"/>
      <c r="C791" s="854"/>
      <c r="D791" s="874"/>
      <c r="E791" s="874"/>
      <c r="F791" s="874"/>
      <c r="G791" s="874"/>
    </row>
    <row r="792" spans="1:7">
      <c r="A792" s="980" t="s">
        <v>487</v>
      </c>
      <c r="B792" s="980"/>
      <c r="C792" s="980"/>
      <c r="D792" s="980"/>
      <c r="E792" s="980"/>
      <c r="F792" s="980"/>
      <c r="G792" s="980"/>
    </row>
    <row r="793" spans="1:7">
      <c r="A793" s="825"/>
      <c r="B793" s="825"/>
    </row>
    <row r="794" spans="1:7">
      <c r="A794" s="825"/>
      <c r="B794" s="1075" t="s">
        <v>483</v>
      </c>
      <c r="C794" s="1075"/>
      <c r="D794" s="1075"/>
      <c r="E794" s="1075"/>
      <c r="F794" s="1075"/>
    </row>
    <row r="795" spans="1:7">
      <c r="A795" s="854"/>
      <c r="B795" s="854"/>
      <c r="C795" s="854"/>
      <c r="D795" s="817"/>
      <c r="F795" s="874"/>
    </row>
    <row r="796" spans="1:7">
      <c r="A796" s="980" t="s">
        <v>488</v>
      </c>
      <c r="B796" s="980"/>
      <c r="C796" s="980"/>
      <c r="D796" s="980"/>
      <c r="E796" s="980"/>
      <c r="F796" s="980"/>
      <c r="G796" s="980"/>
    </row>
    <row r="797" spans="1:7">
      <c r="A797" s="825"/>
      <c r="B797" s="825"/>
    </row>
    <row r="798" spans="1:7">
      <c r="A798" s="825"/>
      <c r="B798" s="1075" t="s">
        <v>483</v>
      </c>
      <c r="C798" s="1075"/>
      <c r="D798" s="1075"/>
      <c r="E798" s="1075"/>
      <c r="F798" s="1075"/>
    </row>
    <row r="799" spans="1:7">
      <c r="A799" s="854"/>
      <c r="B799" s="854"/>
      <c r="C799" s="854"/>
      <c r="D799" s="817"/>
      <c r="F799" s="874"/>
    </row>
    <row r="800" spans="1:7">
      <c r="A800" s="980" t="s">
        <v>489</v>
      </c>
      <c r="B800" s="980"/>
      <c r="C800" s="980"/>
      <c r="D800" s="980"/>
      <c r="E800" s="980"/>
      <c r="F800" s="980"/>
      <c r="G800" s="980"/>
    </row>
    <row r="801" spans="1:7">
      <c r="A801" s="825"/>
      <c r="B801" s="825"/>
    </row>
    <row r="802" spans="1:7">
      <c r="A802" s="825"/>
      <c r="B802" s="1075" t="s">
        <v>483</v>
      </c>
      <c r="C802" s="1075"/>
      <c r="D802" s="1075"/>
      <c r="E802" s="1075"/>
      <c r="F802" s="1075"/>
    </row>
    <row r="803" spans="1:7">
      <c r="A803" s="843"/>
      <c r="B803" s="843"/>
      <c r="C803" s="843"/>
      <c r="D803" s="884"/>
      <c r="E803" s="844"/>
      <c r="F803" s="844"/>
      <c r="G803" s="844"/>
    </row>
    <row r="804" spans="1:7">
      <c r="A804" s="980" t="s">
        <v>199</v>
      </c>
      <c r="B804" s="980"/>
      <c r="C804" s="980"/>
      <c r="D804" s="980"/>
      <c r="E804" s="980"/>
      <c r="F804" s="980"/>
      <c r="G804" s="980"/>
    </row>
    <row r="805" spans="1:7">
      <c r="A805" s="825"/>
      <c r="B805" s="825"/>
    </row>
    <row r="806" spans="1:7">
      <c r="A806" s="825"/>
      <c r="B806" s="1075" t="s">
        <v>483</v>
      </c>
      <c r="C806" s="1075"/>
      <c r="D806" s="1075"/>
      <c r="E806" s="1075"/>
      <c r="F806" s="1075"/>
    </row>
    <row r="807" spans="1:7">
      <c r="A807" s="825"/>
      <c r="B807" s="825"/>
      <c r="D807" s="817"/>
    </row>
    <row r="808" spans="1:7">
      <c r="A808" s="980" t="s">
        <v>967</v>
      </c>
      <c r="B808" s="980"/>
      <c r="C808" s="980"/>
      <c r="D808" s="980"/>
      <c r="E808" s="980"/>
      <c r="F808" s="980"/>
      <c r="G808" s="980"/>
    </row>
    <row r="809" spans="1:7">
      <c r="A809" s="825"/>
      <c r="B809" s="825"/>
    </row>
    <row r="810" spans="1:7">
      <c r="A810" s="825"/>
      <c r="B810" s="1075" t="s">
        <v>483</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236" zoomScale="110" zoomScaleNormal="110" zoomScaleSheetLayoutView="100" workbookViewId="0">
      <selection activeCell="AL260" sqref="AL26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4" t="s">
        <v>1570</v>
      </c>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8" t="s">
        <v>1644</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4" t="s">
        <v>1646</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3" t="s">
        <v>1647</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6" t="s">
        <v>965</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39" ht="12.75" customHeight="1">
      <c r="A21" s="1511" t="s">
        <v>1154</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842211</v>
      </c>
      <c r="N26" s="1510"/>
      <c r="O26" s="1510"/>
      <c r="P26" s="1510"/>
      <c r="Q26" s="151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722</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88"/>
      <c r="H122" s="1488"/>
      <c r="I122" s="247" t="s">
        <v>194</v>
      </c>
      <c r="L122" s="1488"/>
      <c r="M122" s="1488"/>
      <c r="N122" s="1488"/>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8"/>
      <c r="Z126" s="1488"/>
      <c r="AA126" s="1488"/>
      <c r="AB126" s="1488"/>
      <c r="AC126" s="1488"/>
      <c r="AD126" s="1488"/>
      <c r="AE126" s="1488"/>
      <c r="AF126" s="1488"/>
      <c r="AG126" s="1488"/>
      <c r="AH126" s="1488"/>
      <c r="AI126" s="1488"/>
      <c r="AJ126" s="1488"/>
      <c r="AK126" s="148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3" t="s">
        <v>1648</v>
      </c>
      <c r="P153" s="1217"/>
      <c r="Q153" s="1217"/>
      <c r="R153" s="1217"/>
      <c r="S153" s="1217"/>
      <c r="T153" s="1217"/>
      <c r="U153" s="1217"/>
      <c r="V153" s="1217"/>
      <c r="W153" s="1217"/>
      <c r="X153" s="1217"/>
      <c r="Y153" s="1217"/>
      <c r="Z153" s="1217"/>
      <c r="AA153" s="1217"/>
      <c r="AB153" s="1217"/>
      <c r="AC153" s="1217"/>
      <c r="AD153" s="1217"/>
      <c r="AE153" s="1217"/>
      <c r="AF153" s="1217"/>
      <c r="AG153" s="1217"/>
      <c r="AH153" s="1217"/>
    </row>
    <row r="154" spans="1:59" ht="12.75" customHeight="1">
      <c r="D154" s="483" t="s">
        <v>475</v>
      </c>
      <c r="F154" s="32"/>
      <c r="G154" s="32"/>
      <c r="H154" s="32"/>
      <c r="I154" s="32"/>
      <c r="J154" s="32"/>
      <c r="K154" s="32"/>
      <c r="L154" s="32"/>
      <c r="M154" s="32"/>
      <c r="N154" s="32"/>
      <c r="O154" s="1120" t="s">
        <v>1649</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477</v>
      </c>
      <c r="F155" s="13"/>
      <c r="G155" s="13"/>
      <c r="H155" s="13"/>
      <c r="I155" s="13"/>
      <c r="J155" s="13"/>
      <c r="K155" s="13"/>
      <c r="L155" s="13"/>
      <c r="M155" s="13"/>
      <c r="N155" s="13"/>
      <c r="O155" s="1498" t="s">
        <v>476</v>
      </c>
      <c r="P155" s="1498"/>
      <c r="Q155" s="1498"/>
      <c r="R155" s="1498"/>
      <c r="S155" s="1498"/>
      <c r="T155" s="1498"/>
      <c r="U155" s="1498"/>
      <c r="V155" s="1498"/>
      <c r="W155" s="1498"/>
      <c r="X155" s="1498"/>
      <c r="Y155" s="1498"/>
      <c r="Z155" s="1498"/>
      <c r="AA155" s="1498"/>
      <c r="AB155" s="1498"/>
      <c r="AC155" s="1498"/>
      <c r="AD155" s="1498"/>
      <c r="AE155" s="1498"/>
      <c r="AF155" s="1498"/>
      <c r="AG155" s="1498"/>
      <c r="AH155" s="1498"/>
      <c r="AM155" s="25"/>
    </row>
    <row r="156" spans="1:59" ht="12.75">
      <c r="D156" s="32" t="s">
        <v>334</v>
      </c>
      <c r="F156" s="32"/>
      <c r="G156" s="32"/>
      <c r="H156" s="32"/>
      <c r="I156" s="32"/>
      <c r="J156" s="32"/>
      <c r="K156" s="32"/>
      <c r="L156" s="32"/>
      <c r="M156" s="32"/>
      <c r="N156" s="32"/>
      <c r="O156" s="1093" t="s">
        <v>1650</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328</v>
      </c>
    </row>
    <row r="157" spans="1:59" ht="12.75">
      <c r="D157" s="32" t="s">
        <v>335</v>
      </c>
      <c r="F157" s="32"/>
      <c r="G157" s="32"/>
      <c r="H157" s="32"/>
      <c r="I157" s="32"/>
      <c r="J157" s="32"/>
      <c r="K157" s="32"/>
      <c r="L157" s="32"/>
      <c r="M157" s="32"/>
      <c r="N157" s="32"/>
      <c r="O157" s="1093" t="s">
        <v>1651</v>
      </c>
      <c r="P157" s="1217"/>
      <c r="Q157" s="1217"/>
      <c r="R157" s="1217"/>
      <c r="S157" s="1217"/>
      <c r="T157" s="1217"/>
      <c r="U157" s="1217"/>
      <c r="V157" s="1217"/>
      <c r="W157" s="1217"/>
      <c r="X157" s="1217"/>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0">
        <v>92630</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18" t="s">
        <v>1652</v>
      </c>
      <c r="P159" s="1309"/>
      <c r="Q159" s="1309"/>
      <c r="R159" s="1309"/>
      <c r="S159" s="1309"/>
      <c r="T159" s="1309"/>
      <c r="V159" s="149" t="s">
        <v>286</v>
      </c>
      <c r="W159" s="1311"/>
      <c r="X159" s="1311"/>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18" t="s">
        <v>1653</v>
      </c>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2" t="s">
        <v>1654</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3" t="s">
        <v>1511</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7" t="s">
        <v>585</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726</v>
      </c>
      <c r="BG169" s="12" t="s">
        <v>534</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1" t="s">
        <v>402</v>
      </c>
      <c r="K173" s="1491"/>
      <c r="L173" s="1491"/>
      <c r="M173" s="1491"/>
      <c r="N173" s="1491"/>
      <c r="O173" s="1491"/>
      <c r="P173" s="1491"/>
      <c r="Q173" s="1491"/>
      <c r="R173" s="1491"/>
      <c r="S173" s="1491"/>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5" t="s">
        <v>1655</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500" t="s">
        <v>722</v>
      </c>
      <c r="V175" s="1096"/>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87"/>
      <c r="V176" s="1487"/>
      <c r="W176" s="4" t="s">
        <v>327</v>
      </c>
      <c r="X176" s="1497"/>
      <c r="Y176" s="1497"/>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096" t="s">
        <v>591</v>
      </c>
      <c r="S177" s="1096"/>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4">
        <v>16</v>
      </c>
      <c r="AG178" s="1094"/>
      <c r="AH178" s="4" t="s">
        <v>327</v>
      </c>
      <c r="AI178" s="1260" t="s">
        <v>1656</v>
      </c>
      <c r="AJ178" s="1115"/>
      <c r="AK178" s="1115"/>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096" t="s">
        <v>722</v>
      </c>
      <c r="Y180" s="1096"/>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7" t="str">
        <f>H18</f>
        <v>Portola Senior</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246</v>
      </c>
      <c r="BG186" s="12" t="s">
        <v>69</v>
      </c>
    </row>
    <row r="187" spans="1:59" ht="12.75">
      <c r="A187" s="25"/>
      <c r="C187" s="45"/>
      <c r="D187" s="25" t="s">
        <v>629</v>
      </c>
      <c r="E187" s="25"/>
      <c r="F187" s="25"/>
      <c r="G187" s="25"/>
      <c r="H187" s="25"/>
      <c r="I187" s="1120" t="s">
        <v>1657</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4" t="s">
        <v>1658</v>
      </c>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328</v>
      </c>
      <c r="BA189" s="36" t="s">
        <v>250</v>
      </c>
      <c r="BG189" s="12" t="s">
        <v>72</v>
      </c>
    </row>
    <row r="190" spans="1:59" ht="12.7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1193</v>
      </c>
      <c r="BA190" s="36" t="s">
        <v>685</v>
      </c>
      <c r="BG190" s="12" t="s">
        <v>73</v>
      </c>
    </row>
    <row r="191" spans="1:59" ht="12.75">
      <c r="A191" s="25"/>
      <c r="C191" s="45"/>
      <c r="D191" s="25" t="s">
        <v>630</v>
      </c>
      <c r="E191" s="25"/>
      <c r="I191" s="1093" t="s">
        <v>1659</v>
      </c>
      <c r="J191" s="1095"/>
      <c r="K191" s="1095"/>
      <c r="L191" s="1095"/>
      <c r="M191" s="1095"/>
      <c r="N191" s="1095"/>
      <c r="O191" s="1095"/>
      <c r="P191" s="1095"/>
      <c r="Q191" s="25" t="s">
        <v>632</v>
      </c>
      <c r="T191" s="1095" t="s">
        <v>69</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2.75">
      <c r="A192" s="25"/>
      <c r="C192" s="46"/>
      <c r="D192" s="25" t="s">
        <v>633</v>
      </c>
      <c r="E192" s="25"/>
      <c r="F192" s="25"/>
      <c r="G192" s="25"/>
      <c r="I192" s="1117">
        <v>92679</v>
      </c>
      <c r="J192" s="1117"/>
      <c r="K192" s="1117"/>
      <c r="L192" s="1117"/>
      <c r="M192" s="1117"/>
      <c r="N192" s="1117"/>
      <c r="O192" s="25" t="s">
        <v>635</v>
      </c>
      <c r="P192" s="25"/>
      <c r="Q192" s="25"/>
      <c r="R192" s="25"/>
      <c r="S192" s="25"/>
      <c r="T192" s="1490">
        <v>1524.28</v>
      </c>
      <c r="U192" s="1490"/>
      <c r="V192" s="1490"/>
      <c r="W192" s="1490"/>
      <c r="X192" s="1490"/>
      <c r="Y192" s="1490"/>
      <c r="Z192" s="1490"/>
      <c r="AA192" s="1490"/>
      <c r="AB192" s="1490"/>
      <c r="AC192" s="1490"/>
      <c r="AD192" s="1490"/>
      <c r="AE192" s="1490"/>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4" t="s">
        <v>1660</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6" t="s">
        <v>591</v>
      </c>
      <c r="U195" s="1096"/>
      <c r="W195" s="25" t="s">
        <v>738</v>
      </c>
      <c r="X195" s="25"/>
      <c r="Y195" s="25"/>
      <c r="Z195" s="25"/>
      <c r="AA195" s="25"/>
      <c r="AB195" s="25"/>
      <c r="AC195" s="25"/>
      <c r="AD195" s="25"/>
      <c r="AE195" s="25"/>
      <c r="AF195" s="25"/>
      <c r="AG195" s="25"/>
      <c r="AH195" s="1096">
        <v>45</v>
      </c>
      <c r="AI195" s="1096"/>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2" t="s">
        <v>722</v>
      </c>
      <c r="U196" s="1222"/>
      <c r="W196" s="25" t="s">
        <v>739</v>
      </c>
      <c r="X196" s="25"/>
      <c r="Y196" s="25"/>
      <c r="Z196" s="25"/>
      <c r="AA196" s="25"/>
      <c r="AB196" s="25"/>
      <c r="AC196" s="25"/>
      <c r="AD196" s="25"/>
      <c r="AE196" s="25"/>
      <c r="AF196" s="25"/>
      <c r="AG196" s="25"/>
      <c r="AH196" s="1096">
        <v>68</v>
      </c>
      <c r="AI196" s="109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2" t="s">
        <v>722</v>
      </c>
      <c r="U197" s="1222"/>
      <c r="V197" s="12"/>
      <c r="W197" s="25" t="s">
        <v>740</v>
      </c>
      <c r="X197" s="25"/>
      <c r="Y197" s="25"/>
      <c r="Z197" s="25"/>
      <c r="AA197" s="25"/>
      <c r="AB197" s="25"/>
      <c r="AC197" s="25"/>
      <c r="AD197" s="25"/>
      <c r="AE197" s="25"/>
      <c r="AF197" s="25"/>
      <c r="AG197" s="25"/>
      <c r="AH197" s="1096">
        <v>37</v>
      </c>
      <c r="AI197" s="1096"/>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2" t="s">
        <v>722</v>
      </c>
      <c r="Z198" s="122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097" t="s">
        <v>416</v>
      </c>
      <c r="E203" s="1097"/>
      <c r="F203" s="1097"/>
      <c r="G203" s="1097"/>
      <c r="H203" s="1097"/>
      <c r="I203" s="1097"/>
      <c r="J203" s="1097"/>
      <c r="K203" s="1097"/>
      <c r="L203" s="1097"/>
      <c r="M203" s="1097"/>
      <c r="P203" s="1485">
        <f>M26</f>
        <v>842211</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13" t="s">
        <v>1533</v>
      </c>
      <c r="E204" s="1097"/>
      <c r="F204" s="1097"/>
      <c r="G204" s="1097"/>
      <c r="H204" s="1097"/>
      <c r="I204" s="1097"/>
      <c r="J204" s="1097"/>
      <c r="K204" s="1097"/>
      <c r="L204" s="1097"/>
      <c r="M204" s="1097"/>
      <c r="P204" s="1312">
        <f>M27</f>
        <v>0</v>
      </c>
      <c r="Q204" s="1312"/>
      <c r="R204" s="1312"/>
      <c r="S204" s="1312"/>
      <c r="T204" s="1312"/>
      <c r="U204" s="1312"/>
      <c r="V204" s="47"/>
      <c r="W204" s="25" t="s">
        <v>1534</v>
      </c>
      <c r="X204" s="25"/>
      <c r="Y204" s="25"/>
      <c r="Z204" s="25"/>
      <c r="AA204" s="25"/>
      <c r="AB204" s="25"/>
      <c r="AC204" s="25"/>
      <c r="AD204" s="25"/>
      <c r="AE204" s="25"/>
      <c r="AF204" s="1096" t="s">
        <v>722</v>
      </c>
      <c r="AG204" s="1096"/>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17" t="s">
        <v>1661</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17" t="s">
        <v>328</v>
      </c>
      <c r="E210" s="1217"/>
      <c r="F210" s="1217"/>
      <c r="G210" s="1217"/>
      <c r="H210" s="1217"/>
      <c r="I210" s="1217"/>
      <c r="J210" s="1217"/>
      <c r="K210" s="1217"/>
      <c r="L210" s="1217"/>
      <c r="M210" s="1217"/>
      <c r="N210" s="12" t="s">
        <v>1518</v>
      </c>
      <c r="O210" s="743"/>
      <c r="P210" s="743"/>
      <c r="Q210" s="743"/>
      <c r="R210" s="743"/>
      <c r="S210" s="743"/>
      <c r="T210" s="743"/>
      <c r="U210" s="743"/>
      <c r="V210" s="743"/>
      <c r="W210" s="743"/>
      <c r="X210" s="743"/>
      <c r="Y210" s="743"/>
      <c r="Z210" s="743"/>
      <c r="AH210" s="1096"/>
      <c r="AI210" s="1096"/>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17" t="s">
        <v>660</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7" t="s">
        <v>586</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408</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641</v>
      </c>
      <c r="AJ221" s="109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591</v>
      </c>
      <c r="AJ222" s="1096"/>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591</v>
      </c>
      <c r="AJ223" s="1096"/>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641</v>
      </c>
      <c r="AJ224" s="109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9" t="str">
        <f>H16</f>
        <v>Community HousingWorks</v>
      </c>
      <c r="N227" s="1499"/>
      <c r="O227" s="1499"/>
      <c r="P227" s="1499"/>
      <c r="Q227" s="1499"/>
      <c r="R227" s="1499"/>
      <c r="S227" s="1499"/>
      <c r="T227" s="1499"/>
      <c r="U227" s="1499"/>
      <c r="V227" s="1499"/>
      <c r="W227" s="1499"/>
      <c r="X227" s="1499"/>
      <c r="Y227" s="1499"/>
      <c r="Z227" s="1499"/>
      <c r="AA227" s="1499"/>
      <c r="AB227" s="1499"/>
      <c r="AC227" s="1499"/>
      <c r="AD227" s="1499"/>
      <c r="AE227" s="1499"/>
      <c r="AF227" s="1499"/>
      <c r="AG227" s="1499"/>
      <c r="AH227" s="1499"/>
      <c r="AI227" s="1499"/>
      <c r="AJ227" s="1499"/>
      <c r="AK227" s="1499"/>
      <c r="AO227" s="344" t="s">
        <v>584</v>
      </c>
      <c r="AT227" s="406">
        <f>IF(AND(AND($M$244="nonprofit",$M$252="for profit",$M$260="nonprofit")),2,0)</f>
        <v>0</v>
      </c>
    </row>
    <row r="228" spans="1:59" ht="12.75">
      <c r="D228" s="57" t="s">
        <v>92</v>
      </c>
      <c r="E228" s="57"/>
      <c r="F228" s="57"/>
      <c r="G228" s="57"/>
      <c r="H228" s="57"/>
      <c r="I228" s="57"/>
      <c r="J228" s="57"/>
      <c r="K228" s="7"/>
      <c r="M228" s="1093" t="s">
        <v>1662</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584</v>
      </c>
      <c r="AT228" s="405">
        <f>IF(AND(AND($M$244="for profit",$M$252="nonprofit",$M$260="nonprofit")),2,0)</f>
        <v>0</v>
      </c>
      <c r="BB228" s="61"/>
    </row>
    <row r="229" spans="1:59" ht="12.75">
      <c r="D229" s="57" t="s">
        <v>630</v>
      </c>
      <c r="E229" s="57"/>
      <c r="M229" s="1093" t="s">
        <v>790</v>
      </c>
      <c r="N229" s="1217"/>
      <c r="O229" s="1217"/>
      <c r="P229" s="1217"/>
      <c r="Q229" s="1217"/>
      <c r="R229" s="1217"/>
      <c r="S229" s="1217"/>
      <c r="T229" s="1217"/>
      <c r="V229" s="59" t="s">
        <v>93</v>
      </c>
      <c r="W229" s="1120" t="s">
        <v>1663</v>
      </c>
      <c r="X229" s="1100"/>
      <c r="Y229" s="57" t="s">
        <v>633</v>
      </c>
      <c r="AC229" s="1217">
        <v>92108</v>
      </c>
      <c r="AD229" s="1217"/>
      <c r="AE229" s="1217"/>
      <c r="AO229" s="402"/>
      <c r="AT229" s="403"/>
    </row>
    <row r="230" spans="1:59" ht="12.75">
      <c r="D230" s="60" t="s">
        <v>94</v>
      </c>
      <c r="E230" s="7"/>
      <c r="F230" s="7"/>
      <c r="G230" s="7"/>
      <c r="H230" s="7"/>
      <c r="I230" s="7"/>
      <c r="J230" s="7"/>
      <c r="K230" s="29"/>
      <c r="M230" s="1093" t="s">
        <v>1668</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583</v>
      </c>
      <c r="AT230" s="406">
        <f>IF(AND(AND($M$244="nonprofit",$M$252="nonprofit",$M$260="(select one)")),1,0)</f>
        <v>0</v>
      </c>
    </row>
    <row r="231" spans="1:59" ht="12.75">
      <c r="D231" s="60" t="s">
        <v>95</v>
      </c>
      <c r="E231" s="7"/>
      <c r="F231" s="7"/>
      <c r="M231" s="1098" t="s">
        <v>1669</v>
      </c>
      <c r="N231" s="1099"/>
      <c r="O231" s="1099"/>
      <c r="P231" s="1099"/>
      <c r="Q231" s="1099"/>
      <c r="R231" s="1099"/>
      <c r="S231" s="7" t="s">
        <v>219</v>
      </c>
      <c r="T231" s="7"/>
      <c r="U231" s="1100"/>
      <c r="V231" s="1100"/>
      <c r="W231" s="1100"/>
      <c r="X231" s="7" t="s">
        <v>96</v>
      </c>
      <c r="Z231" s="1098" t="s">
        <v>1665</v>
      </c>
      <c r="AA231" s="1099"/>
      <c r="AB231" s="1099"/>
      <c r="AC231" s="1099"/>
      <c r="AD231" s="1099"/>
      <c r="AE231" s="1099"/>
      <c r="AO231" s="400" t="s">
        <v>583</v>
      </c>
      <c r="AT231" s="406">
        <f>IF(AND(AND($M$244="nonprofit",$M$252="nonprofit",$M$260="nonprofit")),1,0)</f>
        <v>0</v>
      </c>
    </row>
    <row r="232" spans="1:59" ht="12.75">
      <c r="D232" s="60" t="s">
        <v>97</v>
      </c>
      <c r="E232" s="7"/>
      <c r="F232" s="7"/>
      <c r="M232" s="1492" t="s">
        <v>1670</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7" t="s">
        <v>408</v>
      </c>
      <c r="N233" s="1117"/>
      <c r="O233" s="1117"/>
      <c r="P233" s="1117"/>
      <c r="Q233" s="1117"/>
      <c r="R233" s="1117"/>
      <c r="S233" s="1117"/>
      <c r="T233" s="1117"/>
      <c r="U233" s="404" t="s">
        <v>1004</v>
      </c>
      <c r="V233" s="335"/>
      <c r="W233" s="335"/>
      <c r="X233" s="335"/>
      <c r="Y233" s="335"/>
      <c r="Z233" s="335"/>
      <c r="AA233" s="1259"/>
      <c r="AB233" s="1259"/>
      <c r="AC233" s="1259"/>
      <c r="AD233" s="1259"/>
      <c r="AE233" s="1259"/>
      <c r="AF233" s="1259"/>
      <c r="AG233" s="1259"/>
      <c r="AH233" s="1259"/>
      <c r="AI233" s="1259"/>
      <c r="AJ233" s="1259"/>
      <c r="AK233" s="1259"/>
      <c r="AL233" s="58"/>
      <c r="AO233" s="400" t="s">
        <v>971</v>
      </c>
      <c r="AT233" s="406">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4" t="s">
        <v>1784</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1671</v>
      </c>
      <c r="AG238" s="1252"/>
      <c r="AH238" s="1252"/>
      <c r="AI238" s="1252"/>
      <c r="AJ238" s="1252"/>
      <c r="AK238" s="1252"/>
      <c r="AT238" s="12">
        <v>1</v>
      </c>
      <c r="AU238" s="12" t="s">
        <v>580</v>
      </c>
      <c r="AZ238" s="25"/>
      <c r="BA238" s="3"/>
      <c r="BB238" s="3"/>
    </row>
    <row r="239" spans="1:59" ht="12.75">
      <c r="A239" s="29"/>
      <c r="B239" s="7"/>
      <c r="C239" s="7"/>
      <c r="D239" s="57" t="s">
        <v>92</v>
      </c>
      <c r="E239" s="57"/>
      <c r="F239" s="57"/>
      <c r="G239" s="57"/>
      <c r="H239" s="57"/>
      <c r="I239" s="57"/>
      <c r="J239" s="57"/>
      <c r="K239" s="57"/>
      <c r="L239" s="7"/>
      <c r="M239" s="1093" t="s">
        <v>1667</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3" t="s">
        <v>790</v>
      </c>
      <c r="N240" s="1217"/>
      <c r="O240" s="1217"/>
      <c r="P240" s="1217"/>
      <c r="Q240" s="1217"/>
      <c r="R240" s="1217"/>
      <c r="S240" s="1217"/>
      <c r="T240" s="1217"/>
      <c r="V240" s="59" t="s">
        <v>93</v>
      </c>
      <c r="W240" s="1120" t="s">
        <v>1663</v>
      </c>
      <c r="X240" s="1100"/>
      <c r="Y240" s="57" t="s">
        <v>633</v>
      </c>
      <c r="AC240" s="1217">
        <v>92108</v>
      </c>
      <c r="AD240" s="1217"/>
      <c r="AE240" s="1217"/>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3" t="s">
        <v>1668</v>
      </c>
      <c r="N241" s="1217"/>
      <c r="O241" s="1217"/>
      <c r="P241" s="1217"/>
      <c r="Q241" s="1217"/>
      <c r="R241" s="1217"/>
      <c r="S241" s="1217"/>
      <c r="T241" s="1217"/>
      <c r="U241" s="1217"/>
      <c r="V241" s="1217"/>
      <c r="W241" s="1217"/>
      <c r="X241" s="1217"/>
      <c r="Y241" s="1217"/>
      <c r="Z241" s="1217"/>
      <c r="AA241" s="1217"/>
      <c r="AB241" s="1217"/>
      <c r="AC241" s="1217"/>
      <c r="AD241" s="1217"/>
      <c r="AE241" s="1217"/>
      <c r="AH241" s="1583">
        <v>0.01</v>
      </c>
      <c r="AI241" s="1583"/>
      <c r="AJ241" s="1583"/>
      <c r="AK241" s="1583"/>
      <c r="AL241" s="7"/>
      <c r="AN241" s="7" t="s">
        <v>295</v>
      </c>
      <c r="BA241" s="61"/>
    </row>
    <row r="242" spans="1:53" ht="12.75">
      <c r="A242" s="29"/>
      <c r="B242" s="7"/>
      <c r="C242" s="7"/>
      <c r="D242" s="60" t="s">
        <v>95</v>
      </c>
      <c r="E242" s="7"/>
      <c r="F242" s="7"/>
      <c r="M242" s="1098" t="s">
        <v>1669</v>
      </c>
      <c r="N242" s="1099"/>
      <c r="O242" s="1099"/>
      <c r="P242" s="1099"/>
      <c r="Q242" s="1099"/>
      <c r="R242" s="1099"/>
      <c r="S242" s="7" t="s">
        <v>219</v>
      </c>
      <c r="T242" s="7"/>
      <c r="U242" s="1100"/>
      <c r="V242" s="1100"/>
      <c r="W242" s="1100"/>
      <c r="X242" s="7" t="s">
        <v>96</v>
      </c>
      <c r="Z242" s="1098" t="s">
        <v>1665</v>
      </c>
      <c r="AA242" s="1099"/>
      <c r="AB242" s="1099"/>
      <c r="AC242" s="1099"/>
      <c r="AD242" s="1099"/>
      <c r="AE242" s="1099"/>
      <c r="AN242" s="7" t="s">
        <v>185</v>
      </c>
      <c r="BA242" s="61"/>
    </row>
    <row r="243" spans="1:53" ht="12.75">
      <c r="A243" s="29"/>
      <c r="B243" s="7"/>
      <c r="C243" s="7"/>
      <c r="D243" s="60" t="s">
        <v>97</v>
      </c>
      <c r="E243" s="7"/>
      <c r="F243" s="7"/>
      <c r="M243" s="1492" t="s">
        <v>1670</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2.75">
      <c r="A244" s="23"/>
      <c r="B244" s="7"/>
      <c r="C244" s="139"/>
      <c r="D244" s="60" t="s">
        <v>581</v>
      </c>
      <c r="E244" s="7"/>
      <c r="F244" s="7"/>
      <c r="G244" s="7"/>
      <c r="H244" s="7"/>
      <c r="I244" s="7"/>
      <c r="J244" s="7"/>
      <c r="K244" s="7"/>
      <c r="L244" s="7"/>
      <c r="M244" s="1117" t="s">
        <v>580</v>
      </c>
      <c r="N244" s="1117"/>
      <c r="O244" s="1117"/>
      <c r="P244" s="1117"/>
      <c r="Q244" s="1117"/>
      <c r="R244" s="1117"/>
      <c r="S244" s="1117"/>
      <c r="T244" s="1117"/>
      <c r="U244" s="404" t="s">
        <v>1004</v>
      </c>
      <c r="V244" s="335"/>
      <c r="W244" s="335"/>
      <c r="X244" s="335"/>
      <c r="Y244" s="335"/>
      <c r="Z244" s="335"/>
      <c r="AA244" s="1489" t="s">
        <v>1646</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2"/>
      <c r="N246" s="1252"/>
      <c r="O246" s="1252"/>
      <c r="P246" s="1252"/>
      <c r="Q246" s="1252"/>
      <c r="R246" s="1252"/>
      <c r="S246" s="1252"/>
      <c r="T246" s="1252"/>
      <c r="U246" s="1252"/>
      <c r="V246" s="1252"/>
      <c r="W246" s="1252"/>
      <c r="X246" s="1252"/>
      <c r="Y246" s="1252"/>
      <c r="Z246" s="1252"/>
      <c r="AA246" s="1252"/>
      <c r="AB246" s="1252"/>
      <c r="AC246" s="1252"/>
      <c r="AD246" s="1252"/>
      <c r="AE246" s="1252"/>
      <c r="AF246" s="1252" t="s">
        <v>328</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217"/>
      <c r="N247" s="1217"/>
      <c r="O247" s="1217"/>
      <c r="P247" s="1217"/>
      <c r="Q247" s="1217"/>
      <c r="R247" s="1217"/>
      <c r="S247" s="1217"/>
      <c r="T247" s="1217"/>
      <c r="U247" s="1217"/>
      <c r="V247" s="1217"/>
      <c r="W247" s="1217"/>
      <c r="X247" s="1217"/>
      <c r="Y247" s="1217"/>
      <c r="Z247" s="1217"/>
      <c r="AA247" s="1217"/>
      <c r="AB247" s="1217"/>
      <c r="AC247" s="1217"/>
      <c r="AD247" s="1217"/>
      <c r="AE247" s="1217"/>
      <c r="AF247" s="58" t="s">
        <v>1419</v>
      </c>
      <c r="AG247" s="743"/>
      <c r="AH247" s="743"/>
      <c r="AI247" s="743"/>
      <c r="AJ247" s="743"/>
      <c r="AK247" s="743"/>
      <c r="AL247" s="7"/>
      <c r="BA247" s="61"/>
    </row>
    <row r="248" spans="1:53" ht="12.75">
      <c r="A248" s="29"/>
      <c r="B248" s="7"/>
      <c r="C248" s="7"/>
      <c r="D248" s="57" t="s">
        <v>630</v>
      </c>
      <c r="E248" s="57"/>
      <c r="M248" s="1217"/>
      <c r="N248" s="1217"/>
      <c r="O248" s="1217"/>
      <c r="P248" s="1217"/>
      <c r="Q248" s="1217"/>
      <c r="R248" s="1217"/>
      <c r="S248" s="1217"/>
      <c r="T248" s="1217"/>
      <c r="V248" s="59" t="s">
        <v>93</v>
      </c>
      <c r="W248" s="1100"/>
      <c r="X248" s="1100"/>
      <c r="Y248" s="57" t="s">
        <v>633</v>
      </c>
      <c r="AC248" s="1217"/>
      <c r="AD248" s="1217"/>
      <c r="AE248" s="121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17"/>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83"/>
      <c r="AI249" s="1583"/>
      <c r="AJ249" s="1583"/>
      <c r="AK249" s="1583"/>
      <c r="AL249" s="7"/>
      <c r="BA249" s="61"/>
    </row>
    <row r="250" spans="1:53" ht="12.75">
      <c r="A250" s="29"/>
      <c r="B250" s="7"/>
      <c r="C250" s="7"/>
      <c r="D250" s="60" t="s">
        <v>95</v>
      </c>
      <c r="E250" s="7"/>
      <c r="F250" s="7"/>
      <c r="M250" s="1099"/>
      <c r="N250" s="1099"/>
      <c r="O250" s="1099"/>
      <c r="P250" s="1099"/>
      <c r="Q250" s="1099"/>
      <c r="R250" s="1099"/>
      <c r="S250" s="7" t="s">
        <v>219</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492"/>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7" t="s">
        <v>328</v>
      </c>
      <c r="N252" s="1117"/>
      <c r="O252" s="1117"/>
      <c r="P252" s="1117"/>
      <c r="Q252" s="1117"/>
      <c r="R252" s="1117"/>
      <c r="S252" s="1117"/>
      <c r="T252" s="1117"/>
      <c r="U252" s="404" t="s">
        <v>1004</v>
      </c>
      <c r="V252" s="335"/>
      <c r="W252" s="335"/>
      <c r="X252" s="335"/>
      <c r="Y252" s="335"/>
      <c r="Z252" s="335"/>
      <c r="AA252" s="1259"/>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328</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1419</v>
      </c>
      <c r="AG255" s="743"/>
      <c r="AH255" s="743"/>
      <c r="AI255" s="743"/>
      <c r="AJ255" s="743"/>
      <c r="AK255" s="743"/>
      <c r="AL255" s="58"/>
      <c r="BA255" s="61"/>
    </row>
    <row r="256" spans="1:53" ht="12.75">
      <c r="A256" s="23"/>
      <c r="B256" s="7"/>
      <c r="C256" s="7"/>
      <c r="D256" s="57" t="s">
        <v>630</v>
      </c>
      <c r="E256" s="57"/>
      <c r="M256" s="1217"/>
      <c r="N256" s="1217"/>
      <c r="O256" s="1217"/>
      <c r="P256" s="1217"/>
      <c r="Q256" s="1217"/>
      <c r="R256" s="1217"/>
      <c r="S256" s="1217"/>
      <c r="T256" s="1217"/>
      <c r="V256" s="59" t="s">
        <v>93</v>
      </c>
      <c r="W256" s="1100"/>
      <c r="X256" s="1100"/>
      <c r="Y256" s="57" t="s">
        <v>633</v>
      </c>
      <c r="AC256" s="1217"/>
      <c r="AD256" s="1217"/>
      <c r="AE256" s="121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83"/>
      <c r="AI257" s="1583"/>
      <c r="AJ257" s="1583"/>
      <c r="AK257" s="1583"/>
      <c r="AL257" s="58"/>
      <c r="BA257" s="61"/>
    </row>
    <row r="258" spans="1:53" ht="12.75">
      <c r="A258" s="23"/>
      <c r="B258" s="7"/>
      <c r="C258" s="7"/>
      <c r="D258" s="60" t="s">
        <v>95</v>
      </c>
      <c r="E258" s="7"/>
      <c r="F258" s="7"/>
      <c r="M258" s="1099"/>
      <c r="N258" s="1099"/>
      <c r="O258" s="1099"/>
      <c r="P258" s="1099"/>
      <c r="Q258" s="1099"/>
      <c r="R258" s="1099"/>
      <c r="S258" s="7" t="s">
        <v>219</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501"/>
      <c r="AB259" s="1501"/>
      <c r="AC259" s="1501"/>
      <c r="AD259" s="1501"/>
      <c r="AE259" s="1501"/>
      <c r="AG259" s="7"/>
      <c r="AH259" s="7"/>
      <c r="AI259" s="7"/>
      <c r="AJ259" s="7"/>
      <c r="AK259" s="7"/>
      <c r="AL259" s="58"/>
      <c r="BA259" s="61"/>
    </row>
    <row r="260" spans="1:53" ht="12.75">
      <c r="A260" s="23"/>
      <c r="B260" s="7"/>
      <c r="C260" s="139"/>
      <c r="D260" s="60" t="s">
        <v>581</v>
      </c>
      <c r="E260" s="7"/>
      <c r="F260" s="7"/>
      <c r="G260" s="7"/>
      <c r="H260" s="7"/>
      <c r="I260" s="7"/>
      <c r="J260" s="7"/>
      <c r="K260" s="7"/>
      <c r="L260" s="7"/>
      <c r="M260" s="1117" t="s">
        <v>328</v>
      </c>
      <c r="N260" s="1117"/>
      <c r="O260" s="1117"/>
      <c r="P260" s="1117"/>
      <c r="Q260" s="1117"/>
      <c r="R260" s="1117"/>
      <c r="S260" s="1117"/>
      <c r="T260" s="1117"/>
      <c r="U260" s="404" t="s">
        <v>1004</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496" t="str">
        <f>BB239</f>
        <v>Nonprofit</v>
      </c>
      <c r="U262" s="1496"/>
      <c r="V262" s="1496"/>
      <c r="W262" s="1496"/>
      <c r="X262" s="149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7" t="s">
        <v>185</v>
      </c>
      <c r="E265" s="1217"/>
      <c r="F265" s="1217"/>
      <c r="G265" s="1217"/>
      <c r="H265" s="1217"/>
      <c r="J265" s="12" t="s">
        <v>294</v>
      </c>
      <c r="X265" s="1420">
        <v>44044</v>
      </c>
      <c r="Y265" s="1420"/>
      <c r="Z265" s="1420"/>
      <c r="AA265" s="1420"/>
      <c r="AB265" s="1420"/>
      <c r="AC265" s="142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4" t="s">
        <v>1646</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3" t="s">
        <v>1662</v>
      </c>
      <c r="M270" s="1217"/>
      <c r="N270" s="1217"/>
      <c r="O270" s="1217"/>
      <c r="P270" s="1217"/>
      <c r="Q270" s="1217"/>
      <c r="R270" s="1217"/>
      <c r="S270" s="1217"/>
      <c r="T270" s="1217"/>
      <c r="U270" s="1217"/>
      <c r="V270" s="1217"/>
      <c r="W270" s="1217"/>
      <c r="X270" s="1217"/>
      <c r="Y270" s="1217"/>
      <c r="Z270" s="1217"/>
      <c r="AA270" s="1217"/>
      <c r="AB270" s="1217"/>
      <c r="AC270" s="1217"/>
      <c r="AD270" s="1217"/>
      <c r="AK270" s="58"/>
      <c r="AL270" s="58"/>
      <c r="BA270" s="61"/>
    </row>
    <row r="271" spans="1:53" ht="12.75">
      <c r="D271" s="57" t="s">
        <v>630</v>
      </c>
      <c r="E271" s="57"/>
      <c r="L271" s="1093" t="s">
        <v>790</v>
      </c>
      <c r="M271" s="1217"/>
      <c r="N271" s="1217"/>
      <c r="O271" s="1217"/>
      <c r="P271" s="1217"/>
      <c r="Q271" s="1217"/>
      <c r="R271" s="1217"/>
      <c r="S271" s="1217"/>
      <c r="U271" s="59" t="s">
        <v>93</v>
      </c>
      <c r="V271" s="1120" t="s">
        <v>1663</v>
      </c>
      <c r="W271" s="1100"/>
      <c r="X271" s="57" t="s">
        <v>633</v>
      </c>
      <c r="AB271" s="1217">
        <v>92108</v>
      </c>
      <c r="AC271" s="1217"/>
      <c r="AD271" s="1217"/>
      <c r="AK271" s="58"/>
      <c r="AL271" s="58"/>
      <c r="BA271" s="61"/>
    </row>
    <row r="272" spans="1:53" ht="12.75">
      <c r="D272" s="60" t="s">
        <v>94</v>
      </c>
      <c r="E272" s="7"/>
      <c r="F272" s="7"/>
      <c r="G272" s="7"/>
      <c r="H272" s="7"/>
      <c r="I272" s="7"/>
      <c r="J272" s="7"/>
      <c r="K272" s="29"/>
      <c r="L272" s="1093" t="s">
        <v>1664</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098" t="s">
        <v>1672</v>
      </c>
      <c r="M273" s="1099"/>
      <c r="N273" s="1099"/>
      <c r="O273" s="1099"/>
      <c r="P273" s="1099"/>
      <c r="Q273" s="1099"/>
      <c r="R273" s="7" t="s">
        <v>219</v>
      </c>
      <c r="S273" s="7"/>
      <c r="T273" s="1100"/>
      <c r="U273" s="1100"/>
      <c r="V273" s="1100"/>
      <c r="W273" s="7" t="s">
        <v>96</v>
      </c>
      <c r="Y273" s="1098" t="s">
        <v>1665</v>
      </c>
      <c r="Z273" s="1099"/>
      <c r="AA273" s="1099"/>
      <c r="AB273" s="1099"/>
      <c r="AC273" s="1099"/>
      <c r="AD273" s="1099"/>
      <c r="BA273" s="61"/>
    </row>
    <row r="274" spans="1:53" ht="12.75">
      <c r="D274" s="60" t="s">
        <v>97</v>
      </c>
      <c r="E274" s="7"/>
      <c r="F274" s="7"/>
      <c r="L274" s="1492" t="s">
        <v>1666</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673</v>
      </c>
      <c r="E275" s="58"/>
      <c r="F275" s="58"/>
      <c r="G275" s="58"/>
      <c r="H275" s="58"/>
      <c r="I275" s="58"/>
      <c r="L275" s="1120" t="s">
        <v>1673</v>
      </c>
      <c r="M275" s="1120"/>
      <c r="N275" s="1120"/>
      <c r="O275" s="1120"/>
      <c r="P275" s="1120"/>
      <c r="Q275" s="1120"/>
      <c r="R275" s="1120"/>
      <c r="S275" s="1120"/>
      <c r="T275" s="1120"/>
      <c r="U275" s="1120"/>
      <c r="V275" s="1120"/>
      <c r="W275" s="1120"/>
      <c r="X275" s="1120"/>
      <c r="Y275" s="1120"/>
      <c r="Z275" s="1120"/>
      <c r="AA275" s="1120"/>
      <c r="AB275" s="1120"/>
      <c r="AC275" s="1120"/>
      <c r="AD275" s="1120"/>
      <c r="AK275" s="58"/>
      <c r="AL275" s="58"/>
      <c r="BA275" s="61"/>
    </row>
    <row r="276" spans="1:53" ht="12.75">
      <c r="L276" s="35" t="s">
        <v>674</v>
      </c>
      <c r="BA276" s="61"/>
    </row>
    <row r="277" spans="1:53" ht="12.75">
      <c r="A277" s="1257" t="s">
        <v>587</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3" t="s">
        <v>1646</v>
      </c>
      <c r="I282" s="1095"/>
      <c r="J282" s="1095"/>
      <c r="K282" s="1095"/>
      <c r="L282" s="1095"/>
      <c r="M282" s="1095"/>
      <c r="N282" s="1095"/>
      <c r="O282" s="1095"/>
      <c r="P282" s="1095"/>
      <c r="Q282" s="1095"/>
      <c r="R282" s="1095"/>
      <c r="T282" s="58" t="s">
        <v>615</v>
      </c>
      <c r="V282" s="58"/>
      <c r="W282" s="58"/>
      <c r="X282" s="58"/>
      <c r="Y282" s="58"/>
      <c r="AA282" s="1093" t="s">
        <v>1675</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120" t="s">
        <v>1662</v>
      </c>
      <c r="I283" s="1117"/>
      <c r="J283" s="1117"/>
      <c r="K283" s="1117"/>
      <c r="L283" s="1117"/>
      <c r="M283" s="1117"/>
      <c r="N283" s="1117"/>
      <c r="O283" s="1117"/>
      <c r="P283" s="1117"/>
      <c r="Q283" s="1117"/>
      <c r="R283" s="1117"/>
      <c r="T283" s="58" t="s">
        <v>517</v>
      </c>
      <c r="V283" s="58"/>
      <c r="W283" s="58"/>
      <c r="X283" s="58"/>
      <c r="Y283" s="58"/>
      <c r="AA283" s="1120" t="s">
        <v>1676</v>
      </c>
      <c r="AB283" s="1117"/>
      <c r="AC283" s="1117"/>
      <c r="AD283" s="1117"/>
      <c r="AE283" s="1117"/>
      <c r="AF283" s="1117"/>
      <c r="AG283" s="1117"/>
      <c r="AH283" s="1117"/>
      <c r="AI283" s="1117"/>
      <c r="AJ283" s="1117"/>
      <c r="AK283" s="1117"/>
      <c r="BA283" s="61"/>
    </row>
    <row r="284" spans="1:53" ht="12.75" customHeight="1">
      <c r="B284" s="58" t="s">
        <v>518</v>
      </c>
      <c r="C284" s="58"/>
      <c r="D284" s="58"/>
      <c r="E284" s="58"/>
      <c r="F284" s="58"/>
      <c r="H284" s="1120" t="s">
        <v>1674</v>
      </c>
      <c r="I284" s="1117"/>
      <c r="J284" s="1117"/>
      <c r="K284" s="1117"/>
      <c r="L284" s="1117"/>
      <c r="M284" s="1117"/>
      <c r="N284" s="1117"/>
      <c r="O284" s="1117"/>
      <c r="P284" s="1117"/>
      <c r="Q284" s="1117"/>
      <c r="R284" s="1117"/>
      <c r="T284" s="58" t="s">
        <v>81</v>
      </c>
      <c r="V284" s="58"/>
      <c r="W284" s="58"/>
      <c r="X284" s="58"/>
      <c r="Y284" s="58"/>
      <c r="AA284" s="1120" t="s">
        <v>1677</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20" t="s">
        <v>1668</v>
      </c>
      <c r="I285" s="1117"/>
      <c r="J285" s="1117"/>
      <c r="K285" s="1117"/>
      <c r="L285" s="1117"/>
      <c r="M285" s="1117"/>
      <c r="N285" s="1117"/>
      <c r="O285" s="1117"/>
      <c r="P285" s="1117"/>
      <c r="Q285" s="1117"/>
      <c r="R285" s="1117"/>
      <c r="T285" s="58" t="s">
        <v>94</v>
      </c>
      <c r="V285" s="58"/>
      <c r="W285" s="58"/>
      <c r="X285" s="58"/>
      <c r="Y285" s="58"/>
      <c r="AA285" s="1120" t="s">
        <v>1678</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1669</v>
      </c>
      <c r="I286" s="1119"/>
      <c r="J286" s="1119"/>
      <c r="K286" s="1119"/>
      <c r="L286" s="1119"/>
      <c r="M286" s="1119"/>
      <c r="N286" s="7" t="s">
        <v>219</v>
      </c>
      <c r="O286" s="7"/>
      <c r="P286" s="1217"/>
      <c r="Q286" s="1217"/>
      <c r="R286" s="1217"/>
      <c r="S286" s="58"/>
      <c r="T286" s="58" t="s">
        <v>95</v>
      </c>
      <c r="V286" s="58"/>
      <c r="W286" s="58"/>
      <c r="X286" s="58"/>
      <c r="Y286" s="58"/>
      <c r="AA286" s="1118" t="s">
        <v>1679</v>
      </c>
      <c r="AB286" s="1119"/>
      <c r="AC286" s="1119"/>
      <c r="AD286" s="1119"/>
      <c r="AE286" s="1119"/>
      <c r="AF286" s="1119"/>
      <c r="AG286" s="7" t="s">
        <v>219</v>
      </c>
      <c r="AH286" s="7"/>
      <c r="AI286" s="1217">
        <v>3218</v>
      </c>
      <c r="AJ286" s="1217"/>
      <c r="AK286" s="1217"/>
      <c r="BA286" s="61"/>
    </row>
    <row r="287" spans="1:53" ht="12.75">
      <c r="B287" s="58" t="s">
        <v>96</v>
      </c>
      <c r="C287" s="58"/>
      <c r="D287" s="58"/>
      <c r="E287" s="58"/>
      <c r="F287" s="58"/>
      <c r="G287" s="58"/>
      <c r="H287" s="1098" t="s">
        <v>1665</v>
      </c>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120" t="s">
        <v>1670</v>
      </c>
      <c r="I288" s="1117"/>
      <c r="J288" s="1117"/>
      <c r="K288" s="1117"/>
      <c r="L288" s="1117"/>
      <c r="M288" s="1117"/>
      <c r="N288" s="1095"/>
      <c r="O288" s="1095"/>
      <c r="P288" s="1095"/>
      <c r="Q288" s="1095"/>
      <c r="R288" s="1095"/>
      <c r="S288" s="58"/>
      <c r="T288" s="58" t="s">
        <v>82</v>
      </c>
      <c r="V288" s="58"/>
      <c r="W288" s="58"/>
      <c r="X288" s="58"/>
      <c r="Y288" s="58"/>
      <c r="AA288" s="1120" t="s">
        <v>1680</v>
      </c>
      <c r="AB288" s="1117"/>
      <c r="AC288" s="1117"/>
      <c r="AD288" s="1117"/>
      <c r="AE288" s="1117"/>
      <c r="AF288" s="1117"/>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3" t="s">
        <v>1681</v>
      </c>
      <c r="I290" s="1095"/>
      <c r="J290" s="1095"/>
      <c r="K290" s="1095"/>
      <c r="L290" s="1095"/>
      <c r="M290" s="1095"/>
      <c r="N290" s="1095"/>
      <c r="O290" s="1095"/>
      <c r="P290" s="1095"/>
      <c r="Q290" s="1095"/>
      <c r="R290" s="1095"/>
      <c r="T290" s="58" t="s">
        <v>387</v>
      </c>
      <c r="V290" s="58"/>
      <c r="W290" s="58"/>
      <c r="X290" s="58"/>
      <c r="Y290" s="58"/>
      <c r="AA290" s="1095"/>
      <c r="AB290" s="1095"/>
      <c r="AC290" s="1095"/>
      <c r="AD290" s="1095"/>
      <c r="AE290" s="1095"/>
      <c r="AF290" s="1095"/>
      <c r="AG290" s="1095"/>
      <c r="AH290" s="1095"/>
      <c r="AI290" s="1095"/>
      <c r="AJ290" s="1095"/>
      <c r="AK290" s="1095"/>
      <c r="BA290" s="61"/>
    </row>
    <row r="291" spans="2:53" ht="12.75">
      <c r="B291" s="58" t="s">
        <v>517</v>
      </c>
      <c r="C291" s="58"/>
      <c r="D291" s="58"/>
      <c r="E291" s="58"/>
      <c r="F291" s="58"/>
      <c r="H291" s="1120" t="s">
        <v>1682</v>
      </c>
      <c r="I291" s="1117"/>
      <c r="J291" s="1117"/>
      <c r="K291" s="1117"/>
      <c r="L291" s="1117"/>
      <c r="M291" s="1117"/>
      <c r="N291" s="1117"/>
      <c r="O291" s="1117"/>
      <c r="P291" s="1117"/>
      <c r="Q291" s="1117"/>
      <c r="R291" s="1117"/>
      <c r="T291" s="58" t="s">
        <v>517</v>
      </c>
      <c r="V291" s="58"/>
      <c r="W291" s="58"/>
      <c r="X291" s="58"/>
      <c r="Y291" s="58"/>
      <c r="AA291" s="1117"/>
      <c r="AB291" s="1117"/>
      <c r="AC291" s="1117"/>
      <c r="AD291" s="1117"/>
      <c r="AE291" s="1117"/>
      <c r="AF291" s="1117"/>
      <c r="AG291" s="1117"/>
      <c r="AH291" s="1117"/>
      <c r="AI291" s="1117"/>
      <c r="AJ291" s="1117"/>
      <c r="AK291" s="1117"/>
      <c r="BA291" s="61"/>
    </row>
    <row r="292" spans="2:53" ht="12.75">
      <c r="B292" s="58" t="s">
        <v>518</v>
      </c>
      <c r="C292" s="58"/>
      <c r="D292" s="58"/>
      <c r="E292" s="58"/>
      <c r="F292" s="58"/>
      <c r="H292" s="1120" t="s">
        <v>1683</v>
      </c>
      <c r="I292" s="1117"/>
      <c r="J292" s="1117"/>
      <c r="K292" s="1117"/>
      <c r="L292" s="1117"/>
      <c r="M292" s="1117"/>
      <c r="N292" s="1117"/>
      <c r="O292" s="1117"/>
      <c r="P292" s="1117"/>
      <c r="Q292" s="1117"/>
      <c r="R292" s="1117"/>
      <c r="T292" s="58" t="s">
        <v>81</v>
      </c>
      <c r="V292" s="58"/>
      <c r="W292" s="58"/>
      <c r="X292" s="58"/>
      <c r="Y292" s="58"/>
      <c r="AA292" s="1117"/>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20" t="s">
        <v>1684</v>
      </c>
      <c r="I293" s="1117"/>
      <c r="J293" s="1117"/>
      <c r="K293" s="1117"/>
      <c r="L293" s="1117"/>
      <c r="M293" s="1117"/>
      <c r="N293" s="1117"/>
      <c r="O293" s="1117"/>
      <c r="P293" s="1117"/>
      <c r="Q293" s="1117"/>
      <c r="R293" s="1117"/>
      <c r="T293" s="58" t="s">
        <v>94</v>
      </c>
      <c r="V293" s="58"/>
      <c r="W293" s="58"/>
      <c r="X293" s="58"/>
      <c r="Y293" s="58"/>
      <c r="AA293" s="1117"/>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1685</v>
      </c>
      <c r="I294" s="1119"/>
      <c r="J294" s="1119"/>
      <c r="K294" s="1119"/>
      <c r="L294" s="1119"/>
      <c r="M294" s="1119"/>
      <c r="N294" s="7" t="s">
        <v>219</v>
      </c>
      <c r="O294" s="7"/>
      <c r="P294" s="1217"/>
      <c r="Q294" s="1217"/>
      <c r="R294" s="1217"/>
      <c r="S294" s="58"/>
      <c r="T294" s="58" t="s">
        <v>95</v>
      </c>
      <c r="V294" s="58"/>
      <c r="W294" s="58"/>
      <c r="X294" s="58"/>
      <c r="Y294" s="58"/>
      <c r="AA294" s="1119"/>
      <c r="AB294" s="1119"/>
      <c r="AC294" s="1119"/>
      <c r="AD294" s="1119"/>
      <c r="AE294" s="1119"/>
      <c r="AF294" s="1119"/>
      <c r="AG294" s="7" t="s">
        <v>219</v>
      </c>
      <c r="AH294" s="7"/>
      <c r="AI294" s="1217"/>
      <c r="AJ294" s="1217"/>
      <c r="AK294" s="1217"/>
      <c r="BA294" s="61"/>
    </row>
    <row r="295" spans="2:53" ht="12.75" customHeight="1">
      <c r="B295" s="58" t="s">
        <v>96</v>
      </c>
      <c r="C295" s="58"/>
      <c r="D295" s="58"/>
      <c r="E295" s="58"/>
      <c r="F295" s="58"/>
      <c r="G295" s="58"/>
      <c r="H295" s="1099"/>
      <c r="I295" s="1099"/>
      <c r="J295" s="1099"/>
      <c r="K295" s="1099"/>
      <c r="L295" s="1099"/>
      <c r="M295" s="1099"/>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20" t="s">
        <v>1686</v>
      </c>
      <c r="I296" s="1117"/>
      <c r="J296" s="1117"/>
      <c r="K296" s="1117"/>
      <c r="L296" s="1117"/>
      <c r="M296" s="1117"/>
      <c r="N296" s="1095"/>
      <c r="O296" s="1095"/>
      <c r="P296" s="1095"/>
      <c r="Q296" s="1095"/>
      <c r="R296" s="1095"/>
      <c r="S296" s="58"/>
      <c r="T296" s="58" t="s">
        <v>82</v>
      </c>
      <c r="V296" s="58"/>
      <c r="W296" s="58"/>
      <c r="X296" s="58"/>
      <c r="Y296" s="58"/>
      <c r="AA296" s="1117"/>
      <c r="AB296" s="1117"/>
      <c r="AC296" s="1117"/>
      <c r="AD296" s="1117"/>
      <c r="AE296" s="1117"/>
      <c r="AF296" s="1117"/>
      <c r="AG296" s="1095"/>
      <c r="AH296" s="1095"/>
      <c r="AI296" s="1095"/>
      <c r="AJ296" s="1095"/>
      <c r="AK296" s="1095"/>
      <c r="BA296" s="61"/>
    </row>
    <row r="297" spans="2:53" ht="12.75">
      <c r="BA297" s="61"/>
    </row>
    <row r="298" spans="2:53" ht="12.75">
      <c r="B298" s="58" t="s">
        <v>83</v>
      </c>
      <c r="C298" s="58"/>
      <c r="D298" s="58"/>
      <c r="E298" s="58"/>
      <c r="F298" s="58"/>
      <c r="H298" s="1095"/>
      <c r="I298" s="1095"/>
      <c r="J298" s="1095"/>
      <c r="K298" s="1095"/>
      <c r="L298" s="1095"/>
      <c r="M298" s="1095"/>
      <c r="N298" s="1095"/>
      <c r="O298" s="1095"/>
      <c r="P298" s="1095"/>
      <c r="Q298" s="1095"/>
      <c r="R298" s="1095"/>
      <c r="T298" s="7" t="s">
        <v>972</v>
      </c>
      <c r="V298" s="58"/>
      <c r="W298" s="58"/>
      <c r="X298" s="58"/>
      <c r="Y298" s="58"/>
      <c r="AA298" s="1093" t="s">
        <v>1687</v>
      </c>
      <c r="AB298" s="1095"/>
      <c r="AC298" s="1095"/>
      <c r="AD298" s="1095"/>
      <c r="AE298" s="1095"/>
      <c r="AF298" s="1095"/>
      <c r="AG298" s="1095"/>
      <c r="AH298" s="1095"/>
      <c r="AI298" s="1095"/>
      <c r="AJ298" s="1095"/>
      <c r="AK298" s="1095"/>
      <c r="BA298" s="61"/>
    </row>
    <row r="299" spans="2:53" ht="12.75">
      <c r="B299" s="58" t="s">
        <v>517</v>
      </c>
      <c r="C299" s="58"/>
      <c r="D299" s="58"/>
      <c r="E299" s="58"/>
      <c r="F299" s="58"/>
      <c r="H299" s="1117"/>
      <c r="I299" s="1117"/>
      <c r="J299" s="1117"/>
      <c r="K299" s="1117"/>
      <c r="L299" s="1117"/>
      <c r="M299" s="1117"/>
      <c r="N299" s="1117"/>
      <c r="O299" s="1117"/>
      <c r="P299" s="1117"/>
      <c r="Q299" s="1117"/>
      <c r="R299" s="1117"/>
      <c r="T299" s="58" t="s">
        <v>517</v>
      </c>
      <c r="V299" s="58"/>
      <c r="W299" s="58"/>
      <c r="X299" s="58"/>
      <c r="Y299" s="58"/>
      <c r="AA299" s="1120" t="s">
        <v>1688</v>
      </c>
      <c r="AB299" s="1117"/>
      <c r="AC299" s="1117"/>
      <c r="AD299" s="1117"/>
      <c r="AE299" s="1117"/>
      <c r="AF299" s="1117"/>
      <c r="AG299" s="1117"/>
      <c r="AH299" s="1117"/>
      <c r="AI299" s="1117"/>
      <c r="AJ299" s="1117"/>
      <c r="AK299" s="1117"/>
      <c r="BA299" s="61"/>
    </row>
    <row r="300" spans="2:53" ht="12.75">
      <c r="B300" s="58" t="s">
        <v>518</v>
      </c>
      <c r="C300" s="58"/>
      <c r="D300" s="58"/>
      <c r="E300" s="58"/>
      <c r="F300" s="58"/>
      <c r="H300" s="1117"/>
      <c r="I300" s="1117"/>
      <c r="J300" s="1117"/>
      <c r="K300" s="1117"/>
      <c r="L300" s="1117"/>
      <c r="M300" s="1117"/>
      <c r="N300" s="1117"/>
      <c r="O300" s="1117"/>
      <c r="P300" s="1117"/>
      <c r="Q300" s="1117"/>
      <c r="R300" s="1117"/>
      <c r="T300" s="58" t="s">
        <v>81</v>
      </c>
      <c r="V300" s="58"/>
      <c r="W300" s="58"/>
      <c r="X300" s="58"/>
      <c r="Y300" s="58"/>
      <c r="AA300" s="1120" t="s">
        <v>1689</v>
      </c>
      <c r="AB300" s="1117"/>
      <c r="AC300" s="1117"/>
      <c r="AD300" s="1117"/>
      <c r="AE300" s="1117"/>
      <c r="AF300" s="1117"/>
      <c r="AG300" s="1117"/>
      <c r="AH300" s="1117"/>
      <c r="AI300" s="1117"/>
      <c r="AJ300" s="1117"/>
      <c r="AK300" s="1117"/>
      <c r="BA300" s="61"/>
    </row>
    <row r="301" spans="2:53" ht="12.75">
      <c r="B301" s="58" t="s">
        <v>94</v>
      </c>
      <c r="C301" s="58"/>
      <c r="D301" s="58"/>
      <c r="E301" s="58"/>
      <c r="F301" s="58"/>
      <c r="H301" s="1117"/>
      <c r="I301" s="1117"/>
      <c r="J301" s="1117"/>
      <c r="K301" s="1117"/>
      <c r="L301" s="1117"/>
      <c r="M301" s="1117"/>
      <c r="N301" s="1117"/>
      <c r="O301" s="1117"/>
      <c r="P301" s="1117"/>
      <c r="Q301" s="1117"/>
      <c r="R301" s="1117"/>
      <c r="T301" s="58" t="s">
        <v>94</v>
      </c>
      <c r="V301" s="58"/>
      <c r="W301" s="58"/>
      <c r="X301" s="58"/>
      <c r="Y301" s="58"/>
      <c r="AA301" s="1120" t="s">
        <v>1690</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9"/>
      <c r="I302" s="1119"/>
      <c r="J302" s="1119"/>
      <c r="K302" s="1119"/>
      <c r="L302" s="1119"/>
      <c r="M302" s="1119"/>
      <c r="N302" s="7" t="s">
        <v>219</v>
      </c>
      <c r="O302" s="7"/>
      <c r="P302" s="1217"/>
      <c r="Q302" s="1217"/>
      <c r="R302" s="1217"/>
      <c r="S302" s="58"/>
      <c r="T302" s="58" t="s">
        <v>95</v>
      </c>
      <c r="V302" s="58"/>
      <c r="W302" s="58"/>
      <c r="X302" s="58"/>
      <c r="Y302" s="58"/>
      <c r="AA302" s="1118" t="s">
        <v>1691</v>
      </c>
      <c r="AB302" s="1119"/>
      <c r="AC302" s="1119"/>
      <c r="AD302" s="1119"/>
      <c r="AE302" s="1119"/>
      <c r="AF302" s="1119"/>
      <c r="AG302" s="7" t="s">
        <v>219</v>
      </c>
      <c r="AH302" s="7"/>
      <c r="AI302" s="1217"/>
      <c r="AJ302" s="1217"/>
      <c r="AK302" s="1217"/>
      <c r="BA302" s="61"/>
    </row>
    <row r="303" spans="2:53" ht="12.75">
      <c r="B303" s="58" t="s">
        <v>96</v>
      </c>
      <c r="C303" s="58"/>
      <c r="D303" s="58"/>
      <c r="E303" s="58"/>
      <c r="F303" s="58"/>
      <c r="G303" s="58"/>
      <c r="H303" s="1099"/>
      <c r="I303" s="1099"/>
      <c r="J303" s="1099"/>
      <c r="K303" s="1099"/>
      <c r="L303" s="1099"/>
      <c r="M303" s="1099"/>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117"/>
      <c r="I304" s="1117"/>
      <c r="J304" s="1117"/>
      <c r="K304" s="1117"/>
      <c r="L304" s="1117"/>
      <c r="M304" s="1117"/>
      <c r="N304" s="1095"/>
      <c r="O304" s="1095"/>
      <c r="P304" s="1095"/>
      <c r="Q304" s="1095"/>
      <c r="R304" s="1095"/>
      <c r="S304" s="58"/>
      <c r="T304" s="58" t="s">
        <v>82</v>
      </c>
      <c r="V304" s="58"/>
      <c r="W304" s="58"/>
      <c r="X304" s="58"/>
      <c r="Y304" s="58"/>
      <c r="AA304" s="1120" t="s">
        <v>1692</v>
      </c>
      <c r="AB304" s="1117"/>
      <c r="AC304" s="1117"/>
      <c r="AD304" s="1117"/>
      <c r="AE304" s="1117"/>
      <c r="AF304" s="1117"/>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c r="I306" s="1095"/>
      <c r="J306" s="1095"/>
      <c r="K306" s="1095"/>
      <c r="L306" s="1095"/>
      <c r="M306" s="1095"/>
      <c r="N306" s="1095"/>
      <c r="O306" s="1095"/>
      <c r="P306" s="1095"/>
      <c r="Q306" s="1095"/>
      <c r="R306" s="1095"/>
      <c r="S306" s="58"/>
      <c r="T306" s="58" t="s">
        <v>388</v>
      </c>
      <c r="V306" s="58"/>
      <c r="W306" s="58"/>
      <c r="X306" s="58"/>
      <c r="Y306" s="58"/>
      <c r="AA306" s="1095"/>
      <c r="AB306" s="1095"/>
      <c r="AC306" s="1095"/>
      <c r="AD306" s="1095"/>
      <c r="AE306" s="1095"/>
      <c r="AF306" s="1095"/>
      <c r="AG306" s="1095"/>
      <c r="AH306" s="1095"/>
      <c r="AI306" s="1095"/>
      <c r="AJ306" s="1095"/>
      <c r="AK306" s="1095"/>
      <c r="BA306" s="61"/>
    </row>
    <row r="307" spans="1:53" ht="12.75">
      <c r="B307" s="58" t="s">
        <v>517</v>
      </c>
      <c r="C307" s="58"/>
      <c r="D307" s="58"/>
      <c r="E307" s="58"/>
      <c r="F307" s="58"/>
      <c r="H307" s="1117"/>
      <c r="I307" s="1117"/>
      <c r="J307" s="1117"/>
      <c r="K307" s="1117"/>
      <c r="L307" s="1117"/>
      <c r="M307" s="1117"/>
      <c r="N307" s="1117"/>
      <c r="O307" s="1117"/>
      <c r="P307" s="1117"/>
      <c r="Q307" s="1117"/>
      <c r="R307" s="1117"/>
      <c r="S307" s="58"/>
      <c r="T307" s="58" t="s">
        <v>517</v>
      </c>
      <c r="V307" s="58"/>
      <c r="W307" s="58"/>
      <c r="X307" s="58"/>
      <c r="Y307" s="58"/>
      <c r="AA307" s="1117"/>
      <c r="AB307" s="1117"/>
      <c r="AC307" s="1117"/>
      <c r="AD307" s="1117"/>
      <c r="AE307" s="1117"/>
      <c r="AF307" s="1117"/>
      <c r="AG307" s="1117"/>
      <c r="AH307" s="1117"/>
      <c r="AI307" s="1117"/>
      <c r="AJ307" s="1117"/>
      <c r="AK307" s="1117"/>
      <c r="BA307" s="61"/>
    </row>
    <row r="308" spans="1:53" ht="12.75">
      <c r="B308" s="58" t="s">
        <v>518</v>
      </c>
      <c r="C308" s="58"/>
      <c r="D308" s="58"/>
      <c r="E308" s="58"/>
      <c r="F308" s="58"/>
      <c r="H308" s="1117"/>
      <c r="I308" s="1117"/>
      <c r="J308" s="1117"/>
      <c r="K308" s="1117"/>
      <c r="L308" s="1117"/>
      <c r="M308" s="1117"/>
      <c r="N308" s="1117"/>
      <c r="O308" s="1117"/>
      <c r="P308" s="1117"/>
      <c r="Q308" s="1117"/>
      <c r="R308" s="1117"/>
      <c r="S308" s="58"/>
      <c r="T308" s="58" t="s">
        <v>81</v>
      </c>
      <c r="V308" s="58"/>
      <c r="W308" s="58"/>
      <c r="X308" s="58"/>
      <c r="Y308" s="58"/>
      <c r="AA308" s="1117"/>
      <c r="AB308" s="1117"/>
      <c r="AC308" s="1117"/>
      <c r="AD308" s="1117"/>
      <c r="AE308" s="1117"/>
      <c r="AF308" s="1117"/>
      <c r="AG308" s="1117"/>
      <c r="AH308" s="1117"/>
      <c r="AI308" s="1117"/>
      <c r="AJ308" s="1117"/>
      <c r="AK308" s="1117"/>
      <c r="BA308" s="61"/>
    </row>
    <row r="309" spans="1:53" ht="12.75">
      <c r="B309" s="58" t="s">
        <v>94</v>
      </c>
      <c r="C309" s="58"/>
      <c r="D309" s="58"/>
      <c r="E309" s="58"/>
      <c r="F309" s="58"/>
      <c r="H309" s="1117"/>
      <c r="I309" s="1117"/>
      <c r="J309" s="1117"/>
      <c r="K309" s="1117"/>
      <c r="L309" s="1117"/>
      <c r="M309" s="1117"/>
      <c r="N309" s="1117"/>
      <c r="O309" s="1117"/>
      <c r="P309" s="1117"/>
      <c r="Q309" s="1117"/>
      <c r="R309" s="1117"/>
      <c r="S309" s="58"/>
      <c r="T309" s="58" t="s">
        <v>94</v>
      </c>
      <c r="V309" s="58"/>
      <c r="W309" s="58"/>
      <c r="X309" s="58"/>
      <c r="Y309" s="58"/>
      <c r="AA309" s="1117"/>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9"/>
      <c r="I310" s="1119"/>
      <c r="J310" s="1119"/>
      <c r="K310" s="1119"/>
      <c r="L310" s="1119"/>
      <c r="M310" s="1119"/>
      <c r="N310" s="7" t="s">
        <v>219</v>
      </c>
      <c r="O310" s="7"/>
      <c r="P310" s="1217"/>
      <c r="Q310" s="1217"/>
      <c r="R310" s="1217"/>
      <c r="S310" s="58"/>
      <c r="T310" s="58" t="s">
        <v>95</v>
      </c>
      <c r="V310" s="58"/>
      <c r="W310" s="58"/>
      <c r="X310" s="58"/>
      <c r="Y310" s="58"/>
      <c r="AA310" s="1119"/>
      <c r="AB310" s="1119"/>
      <c r="AC310" s="1119"/>
      <c r="AD310" s="1119"/>
      <c r="AE310" s="1119"/>
      <c r="AF310" s="1119"/>
      <c r="AG310" s="7" t="s">
        <v>219</v>
      </c>
      <c r="AH310" s="7"/>
      <c r="AI310" s="1217"/>
      <c r="AJ310" s="1217"/>
      <c r="AK310" s="1217"/>
      <c r="BA310" s="61"/>
    </row>
    <row r="311" spans="1:53" ht="12.75">
      <c r="B311" s="58" t="s">
        <v>96</v>
      </c>
      <c r="C311" s="58"/>
      <c r="D311" s="58"/>
      <c r="E311" s="58"/>
      <c r="F311" s="58"/>
      <c r="G311" s="58"/>
      <c r="H311" s="1099"/>
      <c r="I311" s="1099"/>
      <c r="J311" s="1099"/>
      <c r="K311" s="1099"/>
      <c r="L311" s="1099"/>
      <c r="M311" s="1099"/>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17"/>
      <c r="I312" s="1117"/>
      <c r="J312" s="1117"/>
      <c r="K312" s="1117"/>
      <c r="L312" s="1117"/>
      <c r="M312" s="1117"/>
      <c r="N312" s="1095"/>
      <c r="O312" s="1095"/>
      <c r="P312" s="1095"/>
      <c r="Q312" s="1095"/>
      <c r="R312" s="1095"/>
      <c r="S312" s="58"/>
      <c r="T312" s="58" t="s">
        <v>82</v>
      </c>
      <c r="V312" s="58"/>
      <c r="W312" s="58"/>
      <c r="X312" s="58"/>
      <c r="Y312" s="58"/>
      <c r="AA312" s="1117"/>
      <c r="AB312" s="1117"/>
      <c r="AC312" s="1117"/>
      <c r="AD312" s="1117"/>
      <c r="AE312" s="1117"/>
      <c r="AF312" s="1117"/>
      <c r="AG312" s="1095"/>
      <c r="AH312" s="1095"/>
      <c r="AI312" s="1095"/>
      <c r="AJ312" s="1095"/>
      <c r="AK312" s="1095"/>
      <c r="BA312" s="61"/>
    </row>
    <row r="313" spans="1:53" ht="12.75">
      <c r="BA313" s="61"/>
    </row>
    <row r="314" spans="1:53" ht="12.75">
      <c r="B314" s="7" t="s">
        <v>1006</v>
      </c>
      <c r="C314" s="58"/>
      <c r="D314" s="58"/>
      <c r="E314" s="58"/>
      <c r="F314" s="58"/>
      <c r="H314" s="1093" t="s">
        <v>1694</v>
      </c>
      <c r="I314" s="1095"/>
      <c r="J314" s="1095"/>
      <c r="K314" s="1095"/>
      <c r="L314" s="1095"/>
      <c r="M314" s="1095"/>
      <c r="N314" s="1095"/>
      <c r="O314" s="1095"/>
      <c r="P314" s="1095"/>
      <c r="Q314" s="1095"/>
      <c r="R314" s="1095"/>
      <c r="T314" s="58" t="s">
        <v>389</v>
      </c>
      <c r="V314" s="58"/>
      <c r="W314" s="58"/>
      <c r="X314" s="58"/>
      <c r="Y314" s="58"/>
      <c r="AA314" s="1093" t="s">
        <v>1693</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20" t="s">
        <v>1695</v>
      </c>
      <c r="I315" s="1117"/>
      <c r="J315" s="1117"/>
      <c r="K315" s="1117"/>
      <c r="L315" s="1117"/>
      <c r="M315" s="1117"/>
      <c r="N315" s="1117"/>
      <c r="O315" s="1117"/>
      <c r="P315" s="1117"/>
      <c r="Q315" s="1117"/>
      <c r="R315" s="1117"/>
      <c r="T315" s="58" t="s">
        <v>517</v>
      </c>
      <c r="V315" s="58"/>
      <c r="W315" s="58"/>
      <c r="X315" s="58"/>
      <c r="Y315" s="58"/>
      <c r="AA315" s="1117"/>
      <c r="AB315" s="1117"/>
      <c r="AC315" s="1117"/>
      <c r="AD315" s="1117"/>
      <c r="AE315" s="1117"/>
      <c r="AF315" s="1117"/>
      <c r="AG315" s="1117"/>
      <c r="AH315" s="1117"/>
      <c r="AI315" s="1117"/>
      <c r="AJ315" s="1117"/>
      <c r="AK315" s="1117"/>
      <c r="BA315" s="61"/>
    </row>
    <row r="316" spans="1:53" ht="12.75">
      <c r="B316" s="58" t="s">
        <v>518</v>
      </c>
      <c r="C316" s="58"/>
      <c r="D316" s="58"/>
      <c r="E316" s="58"/>
      <c r="F316" s="58"/>
      <c r="H316" s="1120" t="s">
        <v>1696</v>
      </c>
      <c r="I316" s="1117"/>
      <c r="J316" s="1117"/>
      <c r="K316" s="1117"/>
      <c r="L316" s="1117"/>
      <c r="M316" s="1117"/>
      <c r="N316" s="1117"/>
      <c r="O316" s="1117"/>
      <c r="P316" s="1117"/>
      <c r="Q316" s="1117"/>
      <c r="R316" s="1117"/>
      <c r="T316" s="58" t="s">
        <v>81</v>
      </c>
      <c r="V316" s="58"/>
      <c r="W316" s="58"/>
      <c r="X316" s="58"/>
      <c r="Y316" s="58"/>
      <c r="AA316" s="1117"/>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20" t="s">
        <v>1697</v>
      </c>
      <c r="I317" s="1117"/>
      <c r="J317" s="1117"/>
      <c r="K317" s="1117"/>
      <c r="L317" s="1117"/>
      <c r="M317" s="1117"/>
      <c r="N317" s="1117"/>
      <c r="O317" s="1117"/>
      <c r="P317" s="1117"/>
      <c r="Q317" s="1117"/>
      <c r="R317" s="1117"/>
      <c r="T317" s="58" t="s">
        <v>94</v>
      </c>
      <c r="V317" s="58"/>
      <c r="W317" s="58"/>
      <c r="X317" s="58"/>
      <c r="Y317" s="58"/>
      <c r="AA317" s="1117"/>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118" t="s">
        <v>1698</v>
      </c>
      <c r="I318" s="1119"/>
      <c r="J318" s="1119"/>
      <c r="K318" s="1119"/>
      <c r="L318" s="1119"/>
      <c r="M318" s="1119"/>
      <c r="N318" s="7" t="s">
        <v>219</v>
      </c>
      <c r="O318" s="7"/>
      <c r="P318" s="1217">
        <v>107</v>
      </c>
      <c r="Q318" s="1217"/>
      <c r="R318" s="1217"/>
      <c r="S318" s="58"/>
      <c r="T318" s="58" t="s">
        <v>95</v>
      </c>
      <c r="V318" s="58"/>
      <c r="W318" s="58"/>
      <c r="X318" s="58"/>
      <c r="Y318" s="58"/>
      <c r="AA318" s="1119"/>
      <c r="AB318" s="1119"/>
      <c r="AC318" s="1119"/>
      <c r="AD318" s="1119"/>
      <c r="AE318" s="1119"/>
      <c r="AF318" s="1119"/>
      <c r="AG318" s="7" t="s">
        <v>219</v>
      </c>
      <c r="AH318" s="7"/>
      <c r="AI318" s="1217"/>
      <c r="AJ318" s="1217"/>
      <c r="AK318" s="1217"/>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20" t="s">
        <v>1699</v>
      </c>
      <c r="I320" s="1117"/>
      <c r="J320" s="1117"/>
      <c r="K320" s="1117"/>
      <c r="L320" s="1117"/>
      <c r="M320" s="1117"/>
      <c r="N320" s="1095"/>
      <c r="O320" s="1095"/>
      <c r="P320" s="1095"/>
      <c r="Q320" s="1095"/>
      <c r="R320" s="1095"/>
      <c r="S320" s="58"/>
      <c r="T320" s="58" t="s">
        <v>82</v>
      </c>
      <c r="V320" s="58"/>
      <c r="W320" s="58"/>
      <c r="X320" s="58"/>
      <c r="Y320" s="58"/>
      <c r="AA320" s="1117"/>
      <c r="AB320" s="1117"/>
      <c r="AC320" s="1117"/>
      <c r="AD320" s="1117"/>
      <c r="AE320" s="1117"/>
      <c r="AF320" s="1117"/>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3" t="s">
        <v>1700</v>
      </c>
      <c r="I322" s="1095"/>
      <c r="J322" s="1095"/>
      <c r="K322" s="1095"/>
      <c r="L322" s="1095"/>
      <c r="M322" s="1095"/>
      <c r="N322" s="1095"/>
      <c r="O322" s="1095"/>
      <c r="P322" s="1095"/>
      <c r="Q322" s="1095"/>
      <c r="R322" s="1095"/>
      <c r="T322" s="58" t="s">
        <v>391</v>
      </c>
      <c r="V322" s="58"/>
      <c r="W322" s="58"/>
      <c r="X322" s="58"/>
      <c r="Y322" s="58"/>
      <c r="AA322" s="1095"/>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120" t="s">
        <v>1701</v>
      </c>
      <c r="I323" s="1117"/>
      <c r="J323" s="1117"/>
      <c r="K323" s="1117"/>
      <c r="L323" s="1117"/>
      <c r="M323" s="1117"/>
      <c r="N323" s="1117"/>
      <c r="O323" s="1117"/>
      <c r="P323" s="1117"/>
      <c r="Q323" s="1117"/>
      <c r="R323" s="1117"/>
      <c r="T323" s="58" t="s">
        <v>517</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518</v>
      </c>
      <c r="C324" s="58"/>
      <c r="D324" s="58"/>
      <c r="E324" s="58"/>
      <c r="F324" s="58"/>
      <c r="H324" s="1120" t="s">
        <v>1702</v>
      </c>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20" t="s">
        <v>1703</v>
      </c>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8" t="s">
        <v>1704</v>
      </c>
      <c r="I326" s="1119"/>
      <c r="J326" s="1119"/>
      <c r="K326" s="1119"/>
      <c r="L326" s="1119"/>
      <c r="M326" s="1119"/>
      <c r="N326" s="7" t="s">
        <v>219</v>
      </c>
      <c r="O326" s="7"/>
      <c r="P326" s="1217"/>
      <c r="Q326" s="1217"/>
      <c r="R326" s="1217"/>
      <c r="S326" s="58"/>
      <c r="T326" s="58" t="s">
        <v>95</v>
      </c>
      <c r="V326" s="58"/>
      <c r="W326" s="58"/>
      <c r="X326" s="58"/>
      <c r="Y326" s="58"/>
      <c r="AA326" s="1119"/>
      <c r="AB326" s="1119"/>
      <c r="AC326" s="1119"/>
      <c r="AD326" s="1119"/>
      <c r="AE326" s="1119"/>
      <c r="AF326" s="1119"/>
      <c r="AG326" s="7" t="s">
        <v>219</v>
      </c>
      <c r="AH326" s="7"/>
      <c r="AI326" s="1217"/>
      <c r="AJ326" s="1217"/>
      <c r="AK326" s="1217"/>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20" t="s">
        <v>1705</v>
      </c>
      <c r="I328" s="1117"/>
      <c r="J328" s="1117"/>
      <c r="K328" s="1117"/>
      <c r="L328" s="1117"/>
      <c r="M328" s="1117"/>
      <c r="N328" s="1095"/>
      <c r="O328" s="1095"/>
      <c r="P328" s="1095"/>
      <c r="Q328" s="1095"/>
      <c r="R328" s="1095"/>
      <c r="S328" s="58"/>
      <c r="T328" s="58" t="s">
        <v>82</v>
      </c>
      <c r="V328" s="58"/>
      <c r="W328" s="58"/>
      <c r="X328" s="58"/>
      <c r="Y328" s="58"/>
      <c r="AA328" s="1117"/>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3" t="s">
        <v>1706</v>
      </c>
      <c r="I330" s="1095"/>
      <c r="J330" s="1095"/>
      <c r="K330" s="1095"/>
      <c r="L330" s="1095"/>
      <c r="M330" s="1095"/>
      <c r="N330" s="1095"/>
      <c r="O330" s="1095"/>
      <c r="P330" s="1095"/>
      <c r="Q330" s="1095"/>
      <c r="R330" s="1095"/>
      <c r="T330" s="422" t="s">
        <v>981</v>
      </c>
      <c r="V330" s="58"/>
      <c r="W330" s="58"/>
      <c r="X330" s="58"/>
      <c r="Y330" s="58"/>
      <c r="AA330" s="1093" t="s">
        <v>1712</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20" t="s">
        <v>1707</v>
      </c>
      <c r="I331" s="1117"/>
      <c r="J331" s="1117"/>
      <c r="K331" s="1117"/>
      <c r="L331" s="1117"/>
      <c r="M331" s="1117"/>
      <c r="N331" s="1117"/>
      <c r="O331" s="1117"/>
      <c r="P331" s="1117"/>
      <c r="Q331" s="1117"/>
      <c r="R331" s="1117"/>
      <c r="T331" s="58" t="s">
        <v>517</v>
      </c>
      <c r="V331" s="58"/>
      <c r="W331" s="58"/>
      <c r="X331" s="58"/>
      <c r="Y331" s="58"/>
      <c r="AA331" s="1120" t="s">
        <v>1713</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20" t="s">
        <v>1708</v>
      </c>
      <c r="I332" s="1117"/>
      <c r="J332" s="1117"/>
      <c r="K332" s="1117"/>
      <c r="L332" s="1117"/>
      <c r="M332" s="1117"/>
      <c r="N332" s="1117"/>
      <c r="O332" s="1117"/>
      <c r="P332" s="1117"/>
      <c r="Q332" s="1117"/>
      <c r="R332" s="1117"/>
      <c r="T332" s="58" t="s">
        <v>81</v>
      </c>
      <c r="V332" s="58"/>
      <c r="W332" s="58"/>
      <c r="X332" s="58"/>
      <c r="Y332" s="58"/>
      <c r="AA332" s="1120" t="s">
        <v>1714</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20" t="s">
        <v>1709</v>
      </c>
      <c r="I333" s="1117"/>
      <c r="J333" s="1117"/>
      <c r="K333" s="1117"/>
      <c r="L333" s="1117"/>
      <c r="M333" s="1117"/>
      <c r="N333" s="1117"/>
      <c r="O333" s="1117"/>
      <c r="P333" s="1117"/>
      <c r="Q333" s="1117"/>
      <c r="R333" s="1117"/>
      <c r="T333" s="58" t="s">
        <v>94</v>
      </c>
      <c r="V333" s="58"/>
      <c r="W333" s="58"/>
      <c r="X333" s="58"/>
      <c r="Y333" s="58"/>
      <c r="AA333" s="1120" t="s">
        <v>1715</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t="s">
        <v>1710</v>
      </c>
      <c r="I334" s="1119"/>
      <c r="J334" s="1119"/>
      <c r="K334" s="1119"/>
      <c r="L334" s="1119"/>
      <c r="M334" s="1119"/>
      <c r="N334" s="7" t="s">
        <v>219</v>
      </c>
      <c r="O334" s="7"/>
      <c r="P334" s="1217"/>
      <c r="Q334" s="1217"/>
      <c r="R334" s="1217"/>
      <c r="S334" s="58"/>
      <c r="T334" s="58" t="s">
        <v>95</v>
      </c>
      <c r="V334" s="58"/>
      <c r="W334" s="58"/>
      <c r="X334" s="58"/>
      <c r="Y334" s="58"/>
      <c r="AA334" s="1118" t="s">
        <v>1716</v>
      </c>
      <c r="AB334" s="1119"/>
      <c r="AC334" s="1119"/>
      <c r="AD334" s="1119"/>
      <c r="AE334" s="1119"/>
      <c r="AF334" s="1119"/>
      <c r="AG334" s="7" t="s">
        <v>219</v>
      </c>
      <c r="AH334" s="7"/>
      <c r="AI334" s="1217"/>
      <c r="AJ334" s="1217"/>
      <c r="AK334" s="1217"/>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20" t="s">
        <v>1711</v>
      </c>
      <c r="I336" s="1117"/>
      <c r="J336" s="1117"/>
      <c r="K336" s="1117"/>
      <c r="L336" s="1117"/>
      <c r="M336" s="1117"/>
      <c r="N336" s="1095"/>
      <c r="O336" s="1095"/>
      <c r="P336" s="1095"/>
      <c r="Q336" s="1095"/>
      <c r="R336" s="1095"/>
      <c r="S336" s="58"/>
      <c r="T336" s="58" t="s">
        <v>82</v>
      </c>
      <c r="V336" s="58"/>
      <c r="W336" s="58"/>
      <c r="X336" s="58"/>
      <c r="Y336" s="58"/>
      <c r="AA336" s="1120" t="s">
        <v>1717</v>
      </c>
      <c r="AB336" s="1117"/>
      <c r="AC336" s="1117"/>
      <c r="AD336" s="1117"/>
      <c r="AE336" s="1117"/>
      <c r="AF336" s="1117"/>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219</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588</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6" t="s">
        <v>591</v>
      </c>
      <c r="N350" s="1096"/>
      <c r="P350" s="12" t="s">
        <v>598</v>
      </c>
      <c r="AJ350" s="1096" t="s">
        <v>722</v>
      </c>
      <c r="AK350" s="1096"/>
    </row>
    <row r="351" spans="1:53" ht="12.75" customHeight="1">
      <c r="D351" s="7" t="s">
        <v>955</v>
      </c>
      <c r="R351" s="12" t="s">
        <v>599</v>
      </c>
      <c r="AJ351" s="1096" t="s">
        <v>641</v>
      </c>
      <c r="AK351" s="1096"/>
    </row>
    <row r="352" spans="1:53" ht="12.75" customHeight="1">
      <c r="D352" s="12" t="s">
        <v>765</v>
      </c>
      <c r="M352" s="1096" t="s">
        <v>641</v>
      </c>
      <c r="N352" s="1096"/>
      <c r="P352" s="7" t="s">
        <v>952</v>
      </c>
      <c r="AJ352" s="1096" t="s">
        <v>722</v>
      </c>
      <c r="AK352" s="1096"/>
    </row>
    <row r="353" spans="1:34" ht="12.75" customHeight="1">
      <c r="D353" s="12" t="s">
        <v>766</v>
      </c>
      <c r="M353" s="1096" t="s">
        <v>641</v>
      </c>
      <c r="N353" s="109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6" t="s">
        <v>641</v>
      </c>
      <c r="O358" s="1096"/>
      <c r="P358" s="69"/>
      <c r="Q358" s="69"/>
      <c r="R358" s="69"/>
      <c r="S358" s="69"/>
      <c r="T358" s="69"/>
      <c r="U358" s="69"/>
      <c r="V358" s="69"/>
      <c r="W358" s="69"/>
      <c r="X358" s="69"/>
      <c r="Y358" s="70"/>
      <c r="Z358" s="70"/>
      <c r="AC358" s="69"/>
      <c r="AD358" s="69"/>
      <c r="AE358" s="69"/>
    </row>
    <row r="359" spans="1:34" ht="12.75" customHeight="1">
      <c r="E359" s="12" t="s">
        <v>394</v>
      </c>
      <c r="Y359" s="1096" t="s">
        <v>641</v>
      </c>
      <c r="Z359" s="1096"/>
    </row>
    <row r="360" spans="1:34" ht="12.75" customHeight="1">
      <c r="D360" s="7" t="s">
        <v>1092</v>
      </c>
      <c r="Q360" s="1095" t="s">
        <v>641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6" t="s">
        <v>641</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767</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492</v>
      </c>
      <c r="F365" s="7"/>
      <c r="G365" s="7"/>
      <c r="H365" s="7"/>
      <c r="I365" s="7"/>
      <c r="J365" s="7"/>
      <c r="K365" s="7"/>
      <c r="L365" s="7"/>
      <c r="N365" s="1414"/>
      <c r="O365" s="1414"/>
      <c r="P365" s="1414"/>
      <c r="Q365" s="1414"/>
      <c r="R365" s="7"/>
      <c r="U365" s="7" t="s">
        <v>493</v>
      </c>
      <c r="V365" s="7"/>
      <c r="W365" s="7"/>
      <c r="X365" s="7"/>
      <c r="Y365" s="7"/>
      <c r="Z365" s="7"/>
      <c r="AA365" s="7"/>
      <c r="AB365" s="7"/>
      <c r="AC365" s="1414"/>
      <c r="AD365" s="1414"/>
      <c r="AE365" s="1414"/>
      <c r="AF365" s="1414"/>
    </row>
    <row r="366" spans="1:34" ht="12.75" customHeight="1">
      <c r="E366" s="7" t="s">
        <v>494</v>
      </c>
      <c r="F366" s="7"/>
      <c r="G366" s="7"/>
      <c r="H366" s="7"/>
      <c r="I366" s="7"/>
      <c r="J366" s="7"/>
      <c r="K366" s="7"/>
      <c r="L366" s="7"/>
      <c r="N366" s="1414"/>
      <c r="O366" s="1414"/>
      <c r="P366" s="1414"/>
      <c r="Q366" s="1414"/>
      <c r="R366" s="7"/>
      <c r="U366" s="7" t="s">
        <v>0</v>
      </c>
      <c r="V366" s="7"/>
      <c r="W366" s="7"/>
      <c r="X366" s="7"/>
      <c r="Y366" s="7"/>
      <c r="Z366" s="7"/>
      <c r="AA366" s="7"/>
      <c r="AB366" s="7"/>
      <c r="AC366" s="1414"/>
      <c r="AD366" s="1414"/>
      <c r="AE366" s="1414"/>
      <c r="AF366" s="1414"/>
    </row>
    <row r="367" spans="1:34" ht="12.75" customHeight="1">
      <c r="E367" s="7" t="s">
        <v>1</v>
      </c>
      <c r="F367" s="7"/>
      <c r="G367" s="7"/>
      <c r="H367" s="7"/>
      <c r="I367" s="7"/>
      <c r="J367" s="7"/>
      <c r="K367" s="7"/>
      <c r="L367" s="7"/>
      <c r="N367" s="1414"/>
      <c r="O367" s="1414"/>
      <c r="P367" s="1414"/>
      <c r="Q367" s="1414"/>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1"/>
      <c r="T372" s="1121"/>
      <c r="U372" s="4" t="s">
        <v>327</v>
      </c>
      <c r="V372" s="1121"/>
      <c r="W372" s="1121"/>
      <c r="Y372" s="25" t="s">
        <v>325</v>
      </c>
      <c r="AA372" s="25"/>
      <c r="AB372" s="25" t="s">
        <v>326</v>
      </c>
      <c r="AD372" s="1121"/>
      <c r="AE372" s="1121"/>
      <c r="AF372" s="4" t="s">
        <v>327</v>
      </c>
      <c r="AG372" s="1121"/>
      <c r="AH372" s="1121"/>
    </row>
    <row r="373" spans="1:38" ht="12.75" customHeight="1">
      <c r="E373" s="7" t="s">
        <v>1127</v>
      </c>
      <c r="F373" s="7"/>
      <c r="G373" s="7"/>
      <c r="H373" s="7"/>
      <c r="I373" s="7"/>
      <c r="J373" s="7"/>
      <c r="K373" s="7"/>
      <c r="L373" s="7"/>
      <c r="N373" s="1121"/>
      <c r="O373" s="1121"/>
      <c r="P373" s="1121"/>
    </row>
    <row r="374" spans="1:38" ht="12.75" customHeight="1">
      <c r="E374" s="399" t="s">
        <v>1129</v>
      </c>
      <c r="F374" s="7"/>
      <c r="G374" s="7"/>
      <c r="H374" s="7"/>
      <c r="I374" s="7"/>
      <c r="J374" s="7"/>
      <c r="K374" s="7"/>
      <c r="L374" s="7"/>
      <c r="AG374" s="1115" t="s">
        <v>641</v>
      </c>
      <c r="AH374" s="1115"/>
    </row>
    <row r="375" spans="1:38" ht="12.75" customHeight="1">
      <c r="E375" s="7"/>
      <c r="F375" s="7"/>
      <c r="G375" s="7" t="s">
        <v>1150</v>
      </c>
      <c r="H375" s="7"/>
      <c r="I375" s="7"/>
      <c r="J375" s="7"/>
      <c r="K375" s="7"/>
      <c r="L375" s="7"/>
      <c r="AG375" s="1115" t="s">
        <v>641</v>
      </c>
      <c r="AH375" s="1115"/>
    </row>
    <row r="376" spans="1:38" ht="12.75" customHeight="1">
      <c r="E376" s="7"/>
      <c r="F376" s="7"/>
      <c r="G376" s="530" t="s">
        <v>1130</v>
      </c>
      <c r="H376" s="7"/>
      <c r="I376" s="7"/>
      <c r="J376" s="7"/>
      <c r="K376" s="7"/>
      <c r="L376" s="7"/>
      <c r="V376" s="1096" t="s">
        <v>641</v>
      </c>
      <c r="W376" s="1096"/>
      <c r="Y376" s="35" t="s">
        <v>1094</v>
      </c>
    </row>
    <row r="377" spans="1:38" ht="12.75" customHeight="1">
      <c r="E377" s="7" t="s">
        <v>1095</v>
      </c>
      <c r="F377" s="7"/>
      <c r="G377" s="7"/>
      <c r="H377" s="7"/>
      <c r="I377" s="7"/>
      <c r="J377" s="7"/>
      <c r="K377" s="7"/>
      <c r="L377" s="7"/>
      <c r="V377" s="1096" t="s">
        <v>641</v>
      </c>
      <c r="W377" s="1096"/>
      <c r="Y377" s="7" t="s">
        <v>1096</v>
      </c>
    </row>
    <row r="378" spans="1:38" ht="12.75" customHeight="1"/>
    <row r="379" spans="1:38" ht="12.75" customHeight="1">
      <c r="A379" s="50" t="s">
        <v>84</v>
      </c>
      <c r="B379" s="50"/>
    </row>
    <row r="380" spans="1:38" ht="12.75" customHeight="1">
      <c r="D380" s="12" t="s">
        <v>462</v>
      </c>
      <c r="J380" s="1093" t="s">
        <v>1718</v>
      </c>
      <c r="K380" s="1095"/>
      <c r="L380" s="1095"/>
      <c r="M380" s="1095"/>
      <c r="N380" s="1095"/>
      <c r="O380" s="1095"/>
      <c r="P380" s="1095"/>
      <c r="Q380" s="1095"/>
      <c r="R380" s="1095"/>
      <c r="S380" s="1095"/>
      <c r="T380" s="1095"/>
      <c r="U380" s="1095"/>
      <c r="V380" s="14" t="s">
        <v>90</v>
      </c>
      <c r="W380" s="14"/>
      <c r="X380" s="14"/>
      <c r="Y380" s="14"/>
      <c r="Z380" s="14"/>
      <c r="AA380" s="14"/>
      <c r="AB380" s="14"/>
      <c r="AC380" s="1093" t="s">
        <v>1719</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20" t="s">
        <v>1719</v>
      </c>
      <c r="K381" s="1117"/>
      <c r="L381" s="1117"/>
      <c r="M381" s="1117"/>
      <c r="N381" s="1117"/>
      <c r="O381" s="1117"/>
      <c r="P381" s="1117"/>
      <c r="Q381" s="1117"/>
      <c r="R381" s="1117"/>
      <c r="S381" s="1117"/>
      <c r="T381" s="1117"/>
      <c r="U381" s="1117"/>
      <c r="V381" s="58" t="s">
        <v>1422</v>
      </c>
      <c r="W381" s="14"/>
      <c r="X381" s="14"/>
      <c r="Y381" s="14"/>
      <c r="Z381" s="14"/>
      <c r="AA381" s="14"/>
      <c r="AB381" s="14"/>
      <c r="AC381" s="1093" t="s">
        <v>1719</v>
      </c>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120" t="s">
        <v>1720</v>
      </c>
      <c r="K382" s="1117"/>
      <c r="L382" s="1117"/>
      <c r="M382" s="1117"/>
      <c r="N382" s="1117"/>
      <c r="O382" s="1117"/>
      <c r="P382" s="1117"/>
      <c r="Q382" s="1117"/>
      <c r="R382" s="1117"/>
      <c r="S382" s="1117"/>
      <c r="T382" s="1117"/>
      <c r="U382" s="1117"/>
      <c r="V382" s="58" t="s">
        <v>477</v>
      </c>
      <c r="W382" s="14"/>
      <c r="X382" s="14"/>
      <c r="Y382" s="14"/>
      <c r="Z382" s="14"/>
      <c r="AA382" s="14"/>
      <c r="AB382" s="14"/>
      <c r="AC382" s="1093" t="s">
        <v>1720</v>
      </c>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584" t="s">
        <v>1721</v>
      </c>
      <c r="K383" s="1222"/>
      <c r="L383" s="1222"/>
      <c r="M383" s="1222"/>
      <c r="N383" s="1222"/>
      <c r="O383" s="1222"/>
      <c r="P383" s="1222"/>
      <c r="Q383" s="1222"/>
      <c r="R383" s="1222"/>
      <c r="S383" s="1222"/>
      <c r="T383" s="1222"/>
      <c r="U383" s="1222"/>
      <c r="V383" s="1093" t="s">
        <v>1722</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8">
        <v>43961</v>
      </c>
      <c r="R384" s="1548"/>
      <c r="S384" s="1548"/>
      <c r="T384" s="1548"/>
      <c r="U384" s="1548"/>
      <c r="V384" s="12" t="s">
        <v>330</v>
      </c>
      <c r="AI384" s="1096" t="s">
        <v>722</v>
      </c>
      <c r="AJ384" s="1096"/>
    </row>
    <row r="385" spans="1:38" ht="12.75" customHeight="1">
      <c r="D385" s="12" t="s">
        <v>5</v>
      </c>
      <c r="Q385" s="1211">
        <v>44285</v>
      </c>
      <c r="R385" s="1212"/>
      <c r="S385" s="1212"/>
      <c r="T385" s="1212"/>
      <c r="U385" s="1212"/>
      <c r="W385" s="33" t="s">
        <v>80</v>
      </c>
      <c r="AG385" s="1545"/>
      <c r="AH385" s="1545"/>
      <c r="AI385" s="1545"/>
      <c r="AJ385" s="1545"/>
    </row>
    <row r="386" spans="1:38" ht="12.75" customHeight="1">
      <c r="D386" s="12" t="s">
        <v>461</v>
      </c>
      <c r="Q386" s="1576">
        <v>1</v>
      </c>
      <c r="R386" s="1576"/>
      <c r="S386" s="1576"/>
      <c r="T386" s="1576"/>
      <c r="U386" s="1576"/>
      <c r="V386" s="58" t="s">
        <v>1421</v>
      </c>
      <c r="AG386" s="1547">
        <v>44166</v>
      </c>
      <c r="AH386" s="1547"/>
      <c r="AI386" s="1547"/>
      <c r="AJ386" s="1547"/>
    </row>
    <row r="387" spans="1:38" ht="12.75" customHeight="1">
      <c r="D387" s="12" t="s">
        <v>95</v>
      </c>
      <c r="I387" s="1118" t="s">
        <v>1723</v>
      </c>
      <c r="J387" s="1119"/>
      <c r="K387" s="1119"/>
      <c r="L387" s="1119"/>
      <c r="M387" s="1119"/>
      <c r="N387" s="1119"/>
      <c r="Q387" s="57" t="s">
        <v>219</v>
      </c>
      <c r="S387" s="1573"/>
      <c r="T387" s="1573"/>
      <c r="U387" s="1573"/>
      <c r="V387" s="12" t="s">
        <v>79</v>
      </c>
      <c r="AI387" s="1096" t="s">
        <v>722</v>
      </c>
      <c r="AJ387" s="1096"/>
    </row>
    <row r="388" spans="1:38" ht="12.75">
      <c r="D388" s="12" t="s">
        <v>331</v>
      </c>
      <c r="Q388" s="1186"/>
      <c r="R388" s="1186"/>
      <c r="S388" s="1186"/>
      <c r="T388" s="1186"/>
      <c r="U388" s="1186"/>
      <c r="V388" s="12" t="s">
        <v>332</v>
      </c>
      <c r="AG388" s="1546" t="s">
        <v>1725</v>
      </c>
      <c r="AH388" s="1545"/>
      <c r="AI388" s="1545"/>
      <c r="AJ388" s="1545"/>
    </row>
    <row r="389" spans="1:38" ht="12.75">
      <c r="D389" s="12" t="s">
        <v>333</v>
      </c>
      <c r="Q389" s="1543" t="s">
        <v>1724</v>
      </c>
      <c r="R389" s="1544"/>
      <c r="S389" s="1544"/>
      <c r="T389" s="1544"/>
      <c r="U389" s="1544"/>
      <c r="V389" s="743" t="s">
        <v>1398</v>
      </c>
      <c r="AG389" s="1545"/>
      <c r="AH389" s="1545"/>
      <c r="AI389" s="1545"/>
      <c r="AJ389" s="1545"/>
    </row>
    <row r="390" spans="1:38" ht="12.75">
      <c r="D390" s="743" t="s">
        <v>1397</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3" t="s">
        <v>1492</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591</v>
      </c>
      <c r="S394" s="1096"/>
      <c r="T394" s="12" t="s">
        <v>619</v>
      </c>
      <c r="U394" s="743"/>
      <c r="V394" s="743"/>
      <c r="W394" s="743"/>
      <c r="X394" s="743"/>
      <c r="Y394" s="743"/>
      <c r="Z394" s="743"/>
      <c r="AA394" s="743"/>
      <c r="AB394" s="743"/>
      <c r="AC394" s="743"/>
      <c r="AD394" s="1414">
        <v>4</v>
      </c>
      <c r="AE394" s="1414"/>
      <c r="AF394" s="743"/>
    </row>
    <row r="395" spans="1:38" ht="12.75" customHeight="1">
      <c r="C395" s="25"/>
      <c r="E395" s="12" t="s">
        <v>114</v>
      </c>
      <c r="F395" s="743"/>
      <c r="G395" s="743"/>
      <c r="H395" s="743"/>
      <c r="I395" s="743"/>
      <c r="J395" s="743"/>
      <c r="K395" s="743"/>
      <c r="L395" s="743"/>
      <c r="M395" s="743"/>
      <c r="N395" s="25"/>
      <c r="O395" s="25"/>
      <c r="P395" s="743"/>
      <c r="Q395" s="743"/>
      <c r="R395" s="1096" t="s">
        <v>641</v>
      </c>
      <c r="S395" s="1096"/>
      <c r="T395" s="12" t="s">
        <v>619</v>
      </c>
      <c r="U395" s="743"/>
      <c r="V395" s="743"/>
      <c r="W395" s="743"/>
      <c r="X395" s="743"/>
      <c r="Y395" s="743"/>
      <c r="Z395" s="743"/>
      <c r="AA395" s="743"/>
      <c r="AB395" s="743"/>
      <c r="AC395" s="743"/>
      <c r="AD395" s="1414">
        <v>0</v>
      </c>
      <c r="AE395" s="1414"/>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641</v>
      </c>
      <c r="T396" s="1096"/>
      <c r="U396" s="743"/>
      <c r="V396" s="743"/>
      <c r="W396" s="743"/>
      <c r="X396" s="743"/>
      <c r="Y396" s="743"/>
      <c r="Z396" s="743"/>
      <c r="AA396" s="743"/>
      <c r="AB396" s="743"/>
      <c r="AC396" s="743"/>
      <c r="AD396" s="743"/>
      <c r="AE396" s="743"/>
      <c r="AF396" s="743"/>
    </row>
    <row r="397" spans="1:38" ht="12.75" customHeight="1">
      <c r="E397" s="12" t="s">
        <v>176</v>
      </c>
      <c r="F397" s="743"/>
      <c r="G397" s="743"/>
      <c r="H397" s="1571" t="s">
        <v>1726</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1"/>
      <c r="F406" s="1121"/>
      <c r="G406" s="1121"/>
      <c r="H406" s="23" t="s">
        <v>122</v>
      </c>
      <c r="I406" s="1121"/>
      <c r="J406" s="1121"/>
      <c r="K406" s="1121"/>
      <c r="L406" s="12" t="s">
        <v>123</v>
      </c>
      <c r="N406" s="144" t="s">
        <v>625</v>
      </c>
      <c r="P406" s="1116">
        <v>1.92</v>
      </c>
      <c r="Q406" s="1116"/>
      <c r="R406" s="1116"/>
      <c r="S406" s="12" t="s">
        <v>124</v>
      </c>
      <c r="W406" s="1575">
        <f>IF(E406&gt;0,(E406*I406),(P406*43560))</f>
        <v>83635.199999999997</v>
      </c>
      <c r="X406" s="1575"/>
      <c r="Y406" s="1575"/>
      <c r="Z406" s="12" t="s">
        <v>125</v>
      </c>
      <c r="AF406" s="1116">
        <f>AG424/P406</f>
        <v>30.208333333333336</v>
      </c>
      <c r="AG406" s="1116"/>
      <c r="AH406" s="1116"/>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096">
        <v>1</v>
      </c>
      <c r="Q411" s="1096"/>
      <c r="S411" s="12" t="s">
        <v>202</v>
      </c>
      <c r="AE411" s="1096">
        <v>0</v>
      </c>
      <c r="AF411" s="1096"/>
    </row>
    <row r="412" spans="1:36" ht="12.75">
      <c r="E412" s="12" t="s">
        <v>203</v>
      </c>
      <c r="P412" s="1096">
        <v>0</v>
      </c>
      <c r="Q412" s="1096"/>
      <c r="S412" s="12" t="s">
        <v>138</v>
      </c>
      <c r="AE412" s="1096" t="s">
        <v>591</v>
      </c>
      <c r="AF412" s="1096"/>
    </row>
    <row r="413" spans="1:36" ht="12.75" customHeight="1">
      <c r="F413" s="67" t="s">
        <v>139</v>
      </c>
    </row>
    <row r="414" spans="1:36" ht="12.75" customHeight="1">
      <c r="F414" s="1314" t="s">
        <v>1727</v>
      </c>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658</v>
      </c>
      <c r="N416" s="39"/>
      <c r="O416" s="39"/>
      <c r="P416" s="243"/>
      <c r="Q416" s="1096" t="s">
        <v>591</v>
      </c>
      <c r="R416" s="109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6" t="s">
        <v>641</v>
      </c>
      <c r="AG417" s="1588"/>
    </row>
    <row r="418" spans="1:96" ht="12.75" customHeight="1">
      <c r="S418" s="25"/>
      <c r="T418" s="25"/>
    </row>
    <row r="419" spans="1:96" ht="12.75" customHeight="1">
      <c r="A419" s="50"/>
      <c r="B419" s="50"/>
      <c r="C419" s="50"/>
      <c r="E419" s="7" t="s">
        <v>329</v>
      </c>
      <c r="Z419" s="1096" t="s">
        <v>722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6" t="s">
        <v>641</v>
      </c>
      <c r="AA421" s="1096"/>
    </row>
    <row r="422" spans="1:96" ht="12.75" customHeight="1"/>
    <row r="423" spans="1:96" ht="12.75" customHeight="1">
      <c r="A423" s="50" t="s">
        <v>513</v>
      </c>
      <c r="B423" s="50"/>
      <c r="C423" s="50"/>
      <c r="D423" s="50" t="s">
        <v>842</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8"/>
      <c r="AG424" s="1525">
        <v>58</v>
      </c>
      <c r="AH424" s="1525"/>
      <c r="AI424" s="1525"/>
      <c r="AJ424" s="1525"/>
    </row>
    <row r="425" spans="1:96" ht="12.75" customHeight="1">
      <c r="D425" s="1504" t="s">
        <v>1490</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2"/>
      <c r="AH425" s="1170"/>
      <c r="AI425" s="1170"/>
      <c r="AJ425" s="1170"/>
    </row>
    <row r="426" spans="1:96" ht="12.75" customHeight="1">
      <c r="D426" s="1504" t="s">
        <v>1184</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5">
        <v>57</v>
      </c>
      <c r="AH426" s="1525"/>
      <c r="AI426" s="1525"/>
      <c r="AJ426" s="1525"/>
    </row>
    <row r="427" spans="1:96" ht="12.75" customHeight="1">
      <c r="D427" s="1504" t="s">
        <v>1185</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5">
        <v>57</v>
      </c>
      <c r="AH427" s="1525"/>
      <c r="AI427" s="1525"/>
      <c r="AJ427" s="1525"/>
    </row>
    <row r="428" spans="1:96" ht="12.75" customHeight="1">
      <c r="D428" s="1504" t="s">
        <v>1187</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4">
        <f>IF(ISERROR(AG427/AG426),"",AG427/AG426)</f>
        <v>1</v>
      </c>
      <c r="AH428" s="1574"/>
      <c r="AI428" s="1574"/>
      <c r="AJ428" s="1574"/>
    </row>
    <row r="429" spans="1:96" ht="12.75" customHeight="1">
      <c r="D429" s="1504" t="s">
        <v>1186</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7">
        <v>40229</v>
      </c>
      <c r="AH429" s="1447"/>
      <c r="AI429" s="1447"/>
      <c r="AJ429" s="1447"/>
    </row>
    <row r="430" spans="1:96" ht="12.75" customHeight="1">
      <c r="D430" s="1504" t="s">
        <v>1188</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7">
        <v>40229</v>
      </c>
      <c r="AH430" s="1447"/>
      <c r="AI430" s="1447"/>
      <c r="AJ430" s="1447"/>
    </row>
    <row r="431" spans="1:96" ht="12.75" customHeight="1">
      <c r="D431" s="1504" t="s">
        <v>1189</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4">
        <f>IF(ISERROR(AG430/AG429),"",AG430/AG429)</f>
        <v>1</v>
      </c>
      <c r="AH431" s="1574"/>
      <c r="AI431" s="1574"/>
      <c r="AJ431" s="1574"/>
    </row>
    <row r="432" spans="1:96" ht="12.75" customHeight="1">
      <c r="D432" s="1504" t="s">
        <v>1190</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4" t="s">
        <v>1461</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8"/>
      <c r="AG433" s="1447">
        <v>1000</v>
      </c>
      <c r="AH433" s="1447"/>
      <c r="AI433" s="1447"/>
      <c r="AJ433" s="144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59" t="s">
        <v>617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8"/>
      <c r="AG434" s="1447">
        <v>10015</v>
      </c>
      <c r="AH434" s="1447"/>
      <c r="AI434" s="1447"/>
      <c r="AJ434" s="144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1462</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8"/>
      <c r="AG435" s="1447">
        <v>3123</v>
      </c>
      <c r="AH435" s="1447"/>
      <c r="AI435" s="1447"/>
      <c r="AJ435" s="144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1191</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8"/>
      <c r="AG436" s="1447">
        <v>0</v>
      </c>
      <c r="AH436" s="1447"/>
      <c r="AI436" s="1447"/>
      <c r="AJ436" s="14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1192</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6">
        <f>AG429+AG433+AG435+AG436</f>
        <v>44352</v>
      </c>
      <c r="AH437" s="1526"/>
      <c r="AI437" s="1526"/>
      <c r="AJ437" s="152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1463</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445765.81034482759</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367564.10344827588</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344750.3448275862</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8" t="s">
        <v>749</v>
      </c>
      <c r="E452" s="1449"/>
      <c r="F452" s="1449"/>
      <c r="G452" s="1449"/>
      <c r="H452" s="1449"/>
      <c r="I452" s="1449"/>
      <c r="J452" s="1449"/>
      <c r="K452" s="1449"/>
      <c r="L452" s="1449"/>
      <c r="M452" s="1449"/>
      <c r="N452" s="1449"/>
      <c r="O452" s="1449"/>
      <c r="P452" s="1449"/>
      <c r="Q452" s="1449"/>
      <c r="R452" s="1449"/>
      <c r="S452" s="1449"/>
      <c r="T452" s="1449"/>
      <c r="U452" s="1449"/>
      <c r="V452" s="1450"/>
      <c r="W452" s="1253" t="s">
        <v>641</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8" t="s">
        <v>750</v>
      </c>
      <c r="E453" s="1449"/>
      <c r="F453" s="1449"/>
      <c r="G453" s="1449"/>
      <c r="H453" s="1449"/>
      <c r="I453" s="1449"/>
      <c r="J453" s="1449"/>
      <c r="K453" s="1449"/>
      <c r="L453" s="1449"/>
      <c r="M453" s="1449"/>
      <c r="N453" s="1449"/>
      <c r="O453" s="1449"/>
      <c r="P453" s="1449"/>
      <c r="Q453" s="1449"/>
      <c r="R453" s="1449"/>
      <c r="S453" s="1449"/>
      <c r="T453" s="1449"/>
      <c r="U453" s="1449"/>
      <c r="V453" s="1450"/>
      <c r="W453" s="1253" t="s">
        <v>641</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8" t="s">
        <v>751</v>
      </c>
      <c r="E454" s="1449"/>
      <c r="F454" s="1449"/>
      <c r="G454" s="1449"/>
      <c r="H454" s="1449"/>
      <c r="I454" s="1449"/>
      <c r="J454" s="1449"/>
      <c r="K454" s="1449"/>
      <c r="L454" s="1449"/>
      <c r="M454" s="1449"/>
      <c r="N454" s="1449"/>
      <c r="O454" s="1449"/>
      <c r="P454" s="1449"/>
      <c r="Q454" s="1449"/>
      <c r="R454" s="1449"/>
      <c r="S454" s="1449"/>
      <c r="T454" s="1449"/>
      <c r="U454" s="1449"/>
      <c r="V454" s="1450"/>
      <c r="W454" s="1253" t="s">
        <v>641</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8" t="s">
        <v>752</v>
      </c>
      <c r="E455" s="1449"/>
      <c r="F455" s="1449"/>
      <c r="G455" s="1449"/>
      <c r="H455" s="1449"/>
      <c r="I455" s="1449"/>
      <c r="J455" s="1449"/>
      <c r="K455" s="1449"/>
      <c r="L455" s="1449"/>
      <c r="M455" s="1449"/>
      <c r="N455" s="1449"/>
      <c r="O455" s="1449"/>
      <c r="P455" s="1449"/>
      <c r="Q455" s="1449"/>
      <c r="R455" s="1449"/>
      <c r="S455" s="1449"/>
      <c r="T455" s="1449"/>
      <c r="U455" s="1449"/>
      <c r="V455" s="1450"/>
      <c r="W455" s="1253" t="s">
        <v>641</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8" t="s">
        <v>975</v>
      </c>
      <c r="E456" s="1449"/>
      <c r="F456" s="1449"/>
      <c r="G456" s="1449"/>
      <c r="H456" s="1449"/>
      <c r="I456" s="1449"/>
      <c r="J456" s="1449"/>
      <c r="K456" s="1449"/>
      <c r="L456" s="1449"/>
      <c r="M456" s="1449"/>
      <c r="N456" s="1449"/>
      <c r="O456" s="1449"/>
      <c r="P456" s="1449"/>
      <c r="Q456" s="1449"/>
      <c r="R456" s="1449"/>
      <c r="S456" s="1449"/>
      <c r="T456" s="1449"/>
      <c r="U456" s="1449"/>
      <c r="V456" s="1450"/>
      <c r="W456" s="1253" t="s">
        <v>641</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8" t="s">
        <v>753</v>
      </c>
      <c r="E457" s="1449"/>
      <c r="F457" s="1449"/>
      <c r="G457" s="1449"/>
      <c r="H457" s="1449"/>
      <c r="I457" s="1449"/>
      <c r="J457" s="1449"/>
      <c r="K457" s="1449"/>
      <c r="L457" s="1449"/>
      <c r="M457" s="1449"/>
      <c r="N457" s="1449"/>
      <c r="O457" s="1449"/>
      <c r="P457" s="1449"/>
      <c r="Q457" s="1449"/>
      <c r="R457" s="1449"/>
      <c r="S457" s="1449"/>
      <c r="T457" s="1449"/>
      <c r="U457" s="1449"/>
      <c r="V457" s="1450"/>
      <c r="W457" s="1253" t="s">
        <v>641</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8" t="s">
        <v>1157</v>
      </c>
      <c r="E458" s="1449"/>
      <c r="F458" s="1449"/>
      <c r="G458" s="1449"/>
      <c r="H458" s="1449"/>
      <c r="I458" s="1449"/>
      <c r="J458" s="1449"/>
      <c r="K458" s="1449"/>
      <c r="L458" s="1449"/>
      <c r="M458" s="1449"/>
      <c r="N458" s="1449"/>
      <c r="O458" s="1449"/>
      <c r="P458" s="1449"/>
      <c r="Q458" s="1449"/>
      <c r="R458" s="1449"/>
      <c r="S458" s="1449"/>
      <c r="T458" s="1449"/>
      <c r="U458" s="1449"/>
      <c r="V458" s="1450"/>
      <c r="W458" s="1253" t="s">
        <v>641</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2"/>
      <c r="H459" s="1523"/>
      <c r="I459" s="1523"/>
      <c r="J459" s="1523"/>
      <c r="K459" s="1523"/>
      <c r="L459" s="1523"/>
      <c r="M459" s="1523"/>
      <c r="N459" s="1523"/>
      <c r="O459" s="1523"/>
      <c r="P459" s="1523"/>
      <c r="Q459" s="1523"/>
      <c r="R459" s="1523"/>
      <c r="S459" s="1523"/>
      <c r="T459" s="1523"/>
      <c r="U459" s="1523"/>
      <c r="V459" s="1524"/>
      <c r="W459" s="1253" t="s">
        <v>641</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754</v>
      </c>
      <c r="E463" s="1453"/>
      <c r="F463" s="1453"/>
      <c r="G463" s="1453"/>
      <c r="H463" s="1453"/>
      <c r="I463" s="1453"/>
      <c r="J463" s="1453"/>
      <c r="K463" s="1453"/>
      <c r="L463" s="1453"/>
      <c r="M463" s="1453"/>
      <c r="N463" s="1453"/>
      <c r="O463" s="1453"/>
      <c r="P463" s="1453"/>
      <c r="Q463" s="1453"/>
      <c r="R463" s="1453"/>
      <c r="S463" s="1453"/>
      <c r="T463" s="1453"/>
      <c r="U463" s="1453"/>
      <c r="V463" s="1453"/>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8" t="s">
        <v>755</v>
      </c>
      <c r="E464" s="1449"/>
      <c r="F464" s="1449"/>
      <c r="G464" s="1449"/>
      <c r="H464" s="1449"/>
      <c r="I464" s="1449"/>
      <c r="J464" s="1449"/>
      <c r="K464" s="1449"/>
      <c r="L464" s="1449"/>
      <c r="M464" s="1449"/>
      <c r="N464" s="1449"/>
      <c r="O464" s="1449"/>
      <c r="P464" s="1449"/>
      <c r="Q464" s="1449"/>
      <c r="R464" s="1449"/>
      <c r="S464" s="1449"/>
      <c r="T464" s="1449"/>
      <c r="U464" s="1449"/>
      <c r="V464" s="1450"/>
      <c r="W464" s="1253" t="s">
        <v>641</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892</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893</v>
      </c>
      <c r="U471" s="1460"/>
      <c r="V471" s="1460"/>
      <c r="W471" s="1460"/>
      <c r="X471" s="1460"/>
      <c r="Y471" s="1460"/>
      <c r="Z471" s="1460"/>
      <c r="AA471" s="1460"/>
      <c r="AB471" s="1460"/>
      <c r="AC471" s="1460"/>
      <c r="AD471" s="1460"/>
      <c r="AE471" s="1460"/>
      <c r="AF471" s="1460"/>
      <c r="AG471" s="1460"/>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361</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1">
        <v>0</v>
      </c>
      <c r="U474" s="1451"/>
      <c r="V474" s="1451"/>
      <c r="W474" s="1451"/>
      <c r="X474" s="1451"/>
      <c r="Y474" s="1451">
        <v>0</v>
      </c>
      <c r="Z474" s="1451"/>
      <c r="AA474" s="1451"/>
      <c r="AB474" s="1451"/>
      <c r="AC474" s="1451"/>
      <c r="AD474" s="1451">
        <v>41579</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1">
        <v>0</v>
      </c>
      <c r="U475" s="1451"/>
      <c r="V475" s="1451"/>
      <c r="W475" s="1451"/>
      <c r="X475" s="1451"/>
      <c r="Y475" s="1451">
        <v>0</v>
      </c>
      <c r="Z475" s="1451"/>
      <c r="AA475" s="1451"/>
      <c r="AB475" s="1451"/>
      <c r="AC475" s="1451"/>
      <c r="AD475" s="1483" t="s">
        <v>641</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1">
        <v>0</v>
      </c>
      <c r="U476" s="1451"/>
      <c r="V476" s="1451"/>
      <c r="W476" s="1451"/>
      <c r="X476" s="1451"/>
      <c r="Y476" s="1451">
        <v>0</v>
      </c>
      <c r="Z476" s="1451"/>
      <c r="AA476" s="1451"/>
      <c r="AB476" s="1451"/>
      <c r="AC476" s="1451"/>
      <c r="AD476" s="1483" t="s">
        <v>641</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1">
        <v>0</v>
      </c>
      <c r="U477" s="1451"/>
      <c r="V477" s="1451"/>
      <c r="W477" s="1451"/>
      <c r="X477" s="1451"/>
      <c r="Y477" s="1451">
        <v>0</v>
      </c>
      <c r="Z477" s="1451"/>
      <c r="AA477" s="1451"/>
      <c r="AB477" s="1451"/>
      <c r="AC477" s="1451"/>
      <c r="AD477" s="1483" t="s">
        <v>641</v>
      </c>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1">
        <v>0</v>
      </c>
      <c r="U478" s="1451"/>
      <c r="V478" s="1451"/>
      <c r="W478" s="1451"/>
      <c r="X478" s="1451"/>
      <c r="Y478" s="1451">
        <v>0</v>
      </c>
      <c r="Z478" s="1451"/>
      <c r="AA478" s="1451"/>
      <c r="AB478" s="1451"/>
      <c r="AC478" s="1451"/>
      <c r="AD478" s="1483" t="s">
        <v>641</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1">
        <v>0</v>
      </c>
      <c r="U479" s="1451"/>
      <c r="V479" s="1451"/>
      <c r="W479" s="1451"/>
      <c r="X479" s="1451"/>
      <c r="Y479" s="1451">
        <v>0</v>
      </c>
      <c r="Z479" s="1451"/>
      <c r="AA479" s="1451"/>
      <c r="AB479" s="1451"/>
      <c r="AC479" s="1451"/>
      <c r="AD479" s="1483" t="s">
        <v>641</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1">
        <v>0</v>
      </c>
      <c r="U480" s="1451"/>
      <c r="V480" s="1451"/>
      <c r="W480" s="1451"/>
      <c r="X480" s="1451"/>
      <c r="Y480" s="1451">
        <v>0</v>
      </c>
      <c r="Z480" s="1451"/>
      <c r="AA480" s="1451"/>
      <c r="AB480" s="1451"/>
      <c r="AC480" s="1451"/>
      <c r="AD480" s="1451">
        <v>42528</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1">
        <v>0</v>
      </c>
      <c r="U481" s="1451"/>
      <c r="V481" s="1451"/>
      <c r="W481" s="1451"/>
      <c r="X481" s="1451"/>
      <c r="Y481" s="1451">
        <v>0</v>
      </c>
      <c r="Z481" s="1451"/>
      <c r="AA481" s="1451"/>
      <c r="AB481" s="1451"/>
      <c r="AC481" s="1451"/>
      <c r="AD481" s="1483" t="s">
        <v>641</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1">
        <v>0</v>
      </c>
      <c r="U482" s="1451"/>
      <c r="V482" s="1451"/>
      <c r="W482" s="1451"/>
      <c r="X482" s="1451"/>
      <c r="Y482" s="1451">
        <v>0</v>
      </c>
      <c r="Z482" s="1451"/>
      <c r="AA482" s="1451"/>
      <c r="AB482" s="1451"/>
      <c r="AC482" s="1451"/>
      <c r="AD482" s="1483" t="s">
        <v>641</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1">
        <v>0</v>
      </c>
      <c r="U483" s="1451"/>
      <c r="V483" s="1451"/>
      <c r="W483" s="1451"/>
      <c r="X483" s="1451"/>
      <c r="Y483" s="1451">
        <v>0</v>
      </c>
      <c r="Z483" s="1451"/>
      <c r="AA483" s="1451"/>
      <c r="AB483" s="1451"/>
      <c r="AC483" s="1451"/>
      <c r="AD483" s="1483" t="s">
        <v>641</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427</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2" t="s">
        <v>1728</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2" t="s">
        <v>1729</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2" t="s">
        <v>641</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1" t="s">
        <v>431</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4"/>
      <c r="C490" s="1465"/>
      <c r="D490" s="1465"/>
      <c r="E490" s="1465"/>
      <c r="F490" s="1465"/>
      <c r="G490" s="1465"/>
      <c r="H490" s="1465"/>
      <c r="I490" s="1465"/>
      <c r="J490" s="1465"/>
      <c r="K490" s="1465"/>
      <c r="L490" s="1465"/>
      <c r="M490" s="1465"/>
      <c r="N490" s="1465"/>
      <c r="O490" s="1465"/>
      <c r="P490" s="1466"/>
      <c r="Q490" s="1470" t="s">
        <v>722</v>
      </c>
      <c r="R490" s="1471"/>
      <c r="S490" s="1087" t="s">
        <v>1730</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2" t="s">
        <v>1731</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2" t="s">
        <v>1732</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435</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436</v>
      </c>
      <c r="AD499" s="1460"/>
      <c r="AE499" s="1460"/>
      <c r="AF499" s="1460"/>
      <c r="AG499" s="82" t="s">
        <v>437</v>
      </c>
      <c r="AH499" s="1460" t="s">
        <v>438</v>
      </c>
      <c r="AI499" s="1460"/>
      <c r="AJ499" s="1460"/>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439</v>
      </c>
      <c r="C500" s="1475"/>
      <c r="D500" s="1475"/>
      <c r="E500" s="1475"/>
      <c r="F500" s="1475"/>
      <c r="G500" s="1475"/>
      <c r="H500" s="1476"/>
      <c r="I500" s="72" t="s">
        <v>440</v>
      </c>
      <c r="J500" s="72"/>
      <c r="K500" s="72"/>
      <c r="L500" s="72"/>
      <c r="M500" s="72"/>
      <c r="N500" s="72"/>
      <c r="O500" s="72"/>
      <c r="P500" s="72"/>
      <c r="Q500" s="72"/>
      <c r="R500" s="72"/>
      <c r="S500" s="72"/>
      <c r="T500" s="72"/>
      <c r="U500" s="72"/>
      <c r="V500" s="72"/>
      <c r="W500" s="72"/>
      <c r="X500" s="25"/>
      <c r="Y500" s="25"/>
      <c r="AC500" s="1455">
        <v>10</v>
      </c>
      <c r="AD500" s="1414"/>
      <c r="AE500" s="1414"/>
      <c r="AF500" s="1414"/>
      <c r="AG500" s="75" t="s">
        <v>437</v>
      </c>
      <c r="AH500" s="1222">
        <v>2013</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441</v>
      </c>
      <c r="J501" s="80"/>
      <c r="K501" s="80"/>
      <c r="L501" s="80"/>
      <c r="M501" s="80"/>
      <c r="N501" s="80"/>
      <c r="O501" s="80"/>
      <c r="P501" s="80"/>
      <c r="Q501" s="80"/>
      <c r="R501" s="80"/>
      <c r="S501" s="80"/>
      <c r="T501" s="80"/>
      <c r="U501" s="80"/>
      <c r="V501" s="80"/>
      <c r="W501" s="80"/>
      <c r="X501" s="80"/>
      <c r="Y501" s="80"/>
      <c r="Z501" s="80"/>
      <c r="AA501" s="80"/>
      <c r="AB501" s="80"/>
      <c r="AC501" s="1455">
        <v>12</v>
      </c>
      <c r="AD501" s="1414"/>
      <c r="AE501" s="1414"/>
      <c r="AF501" s="1414"/>
      <c r="AG501" s="65" t="s">
        <v>437</v>
      </c>
      <c r="AH501" s="1222">
        <v>2020</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442</v>
      </c>
      <c r="C502" s="1475"/>
      <c r="D502" s="1475"/>
      <c r="E502" s="1475"/>
      <c r="F502" s="1475"/>
      <c r="G502" s="1475"/>
      <c r="H502" s="1476"/>
      <c r="I502" s="72" t="s">
        <v>443</v>
      </c>
      <c r="J502" s="72"/>
      <c r="K502" s="72"/>
      <c r="L502" s="72"/>
      <c r="M502" s="72"/>
      <c r="N502" s="72"/>
      <c r="O502" s="72"/>
      <c r="P502" s="72"/>
      <c r="Q502" s="72"/>
      <c r="R502" s="72"/>
      <c r="S502" s="72"/>
      <c r="T502" s="72"/>
      <c r="U502" s="72"/>
      <c r="V502" s="72"/>
      <c r="W502" s="72"/>
      <c r="X502" s="25"/>
      <c r="Y502" s="25"/>
      <c r="AC502" s="1455" t="s">
        <v>641</v>
      </c>
      <c r="AD502" s="1414"/>
      <c r="AE502" s="1414"/>
      <c r="AF502" s="1414"/>
      <c r="AG502" s="75" t="s">
        <v>437</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444</v>
      </c>
      <c r="J503" s="25"/>
      <c r="K503" s="25"/>
      <c r="L503" s="25"/>
      <c r="M503" s="25"/>
      <c r="N503" s="25"/>
      <c r="O503" s="25"/>
      <c r="P503" s="25"/>
      <c r="Q503" s="25"/>
      <c r="R503" s="25"/>
      <c r="S503" s="25"/>
      <c r="T503" s="25"/>
      <c r="U503" s="25"/>
      <c r="V503" s="25"/>
      <c r="W503" s="25"/>
      <c r="X503" s="25"/>
      <c r="Y503" s="25"/>
      <c r="AC503" s="1455" t="s">
        <v>641</v>
      </c>
      <c r="AD503" s="1414"/>
      <c r="AE503" s="1414"/>
      <c r="AF503" s="1414"/>
      <c r="AG503" s="75" t="s">
        <v>437</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445</v>
      </c>
      <c r="J504" s="25"/>
      <c r="K504" s="25"/>
      <c r="L504" s="25"/>
      <c r="M504" s="25"/>
      <c r="N504" s="25"/>
      <c r="O504" s="25"/>
      <c r="P504" s="25"/>
      <c r="Q504" s="25"/>
      <c r="R504" s="25"/>
      <c r="S504" s="25"/>
      <c r="T504" s="25"/>
      <c r="U504" s="25"/>
      <c r="V504" s="25"/>
      <c r="W504" s="25"/>
      <c r="X504" s="25"/>
      <c r="Y504" s="25"/>
      <c r="AC504" s="1455">
        <v>6</v>
      </c>
      <c r="AD504" s="1414"/>
      <c r="AE504" s="1414"/>
      <c r="AF504" s="1414"/>
      <c r="AG504" s="75" t="s">
        <v>437</v>
      </c>
      <c r="AH504" s="1222">
        <v>2016</v>
      </c>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446</v>
      </c>
      <c r="J505" s="25"/>
      <c r="K505" s="25"/>
      <c r="L505" s="25"/>
      <c r="M505" s="25"/>
      <c r="N505" s="25"/>
      <c r="O505" s="25"/>
      <c r="P505" s="25"/>
      <c r="Q505" s="25"/>
      <c r="R505" s="25"/>
      <c r="S505" s="25"/>
      <c r="T505" s="25"/>
      <c r="U505" s="25"/>
      <c r="V505" s="25"/>
      <c r="W505" s="25"/>
      <c r="X505" s="25"/>
      <c r="Y505" s="25"/>
      <c r="AC505" s="1455">
        <v>12</v>
      </c>
      <c r="AD505" s="1414"/>
      <c r="AE505" s="1414"/>
      <c r="AF505" s="1414"/>
      <c r="AG505" s="75" t="s">
        <v>437</v>
      </c>
      <c r="AH505" s="1222">
        <v>2019</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447</v>
      </c>
      <c r="J506" s="80"/>
      <c r="K506" s="80"/>
      <c r="L506" s="80"/>
      <c r="M506" s="80"/>
      <c r="N506" s="80"/>
      <c r="O506" s="80"/>
      <c r="P506" s="80"/>
      <c r="Q506" s="80"/>
      <c r="R506" s="80"/>
      <c r="S506" s="80"/>
      <c r="T506" s="80"/>
      <c r="U506" s="80"/>
      <c r="V506" s="80"/>
      <c r="W506" s="80"/>
      <c r="X506" s="80"/>
      <c r="Y506" s="80"/>
      <c r="Z506" s="80"/>
      <c r="AA506" s="80"/>
      <c r="AB506" s="80"/>
      <c r="AC506" s="1455">
        <v>12</v>
      </c>
      <c r="AD506" s="1414"/>
      <c r="AE506" s="1414"/>
      <c r="AF506" s="1414"/>
      <c r="AG506" s="65" t="s">
        <v>437</v>
      </c>
      <c r="AH506" s="1222">
        <v>2019</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448</v>
      </c>
      <c r="C507" s="1475"/>
      <c r="D507" s="1475"/>
      <c r="E507" s="1475"/>
      <c r="F507" s="1475"/>
      <c r="G507" s="1475"/>
      <c r="H507" s="1476"/>
      <c r="I507" s="72" t="s">
        <v>449</v>
      </c>
      <c r="J507" s="72"/>
      <c r="K507" s="72"/>
      <c r="L507" s="72"/>
      <c r="M507" s="72"/>
      <c r="N507" s="72"/>
      <c r="O507" s="72"/>
      <c r="P507" s="72"/>
      <c r="Q507" s="72"/>
      <c r="R507" s="72"/>
      <c r="S507" s="72"/>
      <c r="T507" s="72"/>
      <c r="U507" s="72"/>
      <c r="V507" s="72"/>
      <c r="W507" s="72"/>
      <c r="X507" s="25"/>
      <c r="Y507" s="25"/>
      <c r="AC507" s="1455">
        <v>3</v>
      </c>
      <c r="AD507" s="1414"/>
      <c r="AE507" s="1414"/>
      <c r="AF507" s="1414"/>
      <c r="AG507" s="75" t="s">
        <v>437</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450</v>
      </c>
      <c r="J508" s="25"/>
      <c r="K508" s="25"/>
      <c r="L508" s="25"/>
      <c r="M508" s="25"/>
      <c r="N508" s="25"/>
      <c r="O508" s="25"/>
      <c r="P508" s="25"/>
      <c r="Q508" s="25"/>
      <c r="R508" s="25"/>
      <c r="S508" s="25"/>
      <c r="T508" s="25"/>
      <c r="U508" s="25"/>
      <c r="V508" s="25"/>
      <c r="W508" s="25"/>
      <c r="X508" s="25"/>
      <c r="Y508" s="25"/>
      <c r="AC508" s="1455">
        <v>5</v>
      </c>
      <c r="AD508" s="1414"/>
      <c r="AE508" s="1414"/>
      <c r="AF508" s="1414"/>
      <c r="AG508" s="75" t="s">
        <v>437</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451</v>
      </c>
      <c r="J509" s="80"/>
      <c r="K509" s="80"/>
      <c r="L509" s="80"/>
      <c r="M509" s="80"/>
      <c r="N509" s="80"/>
      <c r="O509" s="80"/>
      <c r="P509" s="80"/>
      <c r="Q509" s="80"/>
      <c r="R509" s="80"/>
      <c r="S509" s="80"/>
      <c r="T509" s="80"/>
      <c r="U509" s="80"/>
      <c r="V509" s="80"/>
      <c r="W509" s="80"/>
      <c r="X509" s="80"/>
      <c r="Y509" s="80"/>
      <c r="Z509" s="80"/>
      <c r="AA509" s="80"/>
      <c r="AB509" s="80"/>
      <c r="AC509" s="1455">
        <v>12</v>
      </c>
      <c r="AD509" s="1414"/>
      <c r="AE509" s="1414"/>
      <c r="AF509" s="1414"/>
      <c r="AG509" s="65" t="s">
        <v>437</v>
      </c>
      <c r="AH509" s="1222">
        <v>2020</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452</v>
      </c>
      <c r="C510" s="1475"/>
      <c r="D510" s="1475"/>
      <c r="E510" s="1475"/>
      <c r="F510" s="1475"/>
      <c r="G510" s="1475"/>
      <c r="H510" s="1476"/>
      <c r="I510" s="72" t="s">
        <v>449</v>
      </c>
      <c r="J510" s="72"/>
      <c r="K510" s="72"/>
      <c r="L510" s="72"/>
      <c r="M510" s="72"/>
      <c r="N510" s="72"/>
      <c r="O510" s="72"/>
      <c r="P510" s="72"/>
      <c r="Q510" s="72"/>
      <c r="R510" s="72"/>
      <c r="S510" s="72"/>
      <c r="T510" s="72"/>
      <c r="U510" s="72"/>
      <c r="V510" s="72"/>
      <c r="W510" s="72"/>
      <c r="X510" s="72"/>
      <c r="Y510" s="72"/>
      <c r="Z510" s="72"/>
      <c r="AA510" s="72"/>
      <c r="AB510" s="72"/>
      <c r="AC510" s="1167">
        <v>3</v>
      </c>
      <c r="AD510" s="1168"/>
      <c r="AE510" s="1168"/>
      <c r="AF510" s="1168"/>
      <c r="AG510" s="204" t="s">
        <v>437</v>
      </c>
      <c r="AH510" s="1222">
        <v>2020</v>
      </c>
      <c r="AI510" s="1222"/>
      <c r="AJ510" s="1222"/>
      <c r="AK510" s="122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450</v>
      </c>
      <c r="J511" s="25"/>
      <c r="K511" s="25"/>
      <c r="L511" s="25"/>
      <c r="M511" s="25"/>
      <c r="N511" s="25"/>
      <c r="O511" s="25"/>
      <c r="P511" s="25"/>
      <c r="Q511" s="25"/>
      <c r="R511" s="25"/>
      <c r="S511" s="25"/>
      <c r="T511" s="25"/>
      <c r="U511" s="25"/>
      <c r="V511" s="25"/>
      <c r="W511" s="25"/>
      <c r="X511" s="25"/>
      <c r="Y511" s="25"/>
      <c r="Z511" s="25"/>
      <c r="AA511" s="25"/>
      <c r="AB511" s="25"/>
      <c r="AC511" s="1455">
        <v>5</v>
      </c>
      <c r="AD511" s="1414"/>
      <c r="AE511" s="1414"/>
      <c r="AF511" s="1414"/>
      <c r="AG511" s="75" t="s">
        <v>437</v>
      </c>
      <c r="AH511" s="1222">
        <v>2020</v>
      </c>
      <c r="AI511" s="1222"/>
      <c r="AJ511" s="1222"/>
      <c r="AK511" s="122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451</v>
      </c>
      <c r="J512" s="80"/>
      <c r="K512" s="80"/>
      <c r="L512" s="80"/>
      <c r="M512" s="80"/>
      <c r="N512" s="80"/>
      <c r="O512" s="80"/>
      <c r="P512" s="80"/>
      <c r="Q512" s="80"/>
      <c r="R512" s="80"/>
      <c r="S512" s="80"/>
      <c r="T512" s="80"/>
      <c r="U512" s="80"/>
      <c r="V512" s="80"/>
      <c r="W512" s="80"/>
      <c r="X512" s="80"/>
      <c r="Y512" s="80"/>
      <c r="Z512" s="80"/>
      <c r="AA512" s="80"/>
      <c r="AB512" s="80"/>
      <c r="AC512" s="1455">
        <v>12</v>
      </c>
      <c r="AD512" s="1414"/>
      <c r="AE512" s="1414"/>
      <c r="AF512" s="1414"/>
      <c r="AG512" s="65" t="s">
        <v>437</v>
      </c>
      <c r="AH512" s="1222">
        <v>2020</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453</v>
      </c>
      <c r="C513" s="1475"/>
      <c r="D513" s="1475"/>
      <c r="E513" s="1475"/>
      <c r="F513" s="1475"/>
      <c r="G513" s="1475"/>
      <c r="H513" s="1476"/>
      <c r="I513" s="71" t="s">
        <v>454</v>
      </c>
      <c r="J513" s="72"/>
      <c r="K513" s="72"/>
      <c r="L513" s="72"/>
      <c r="M513" s="72"/>
      <c r="N513" s="72"/>
      <c r="O513" s="1120" t="s">
        <v>1733</v>
      </c>
      <c r="P513" s="1117"/>
      <c r="Q513" s="1117"/>
      <c r="R513" s="1117"/>
      <c r="S513" s="1117"/>
      <c r="T513" s="1117"/>
      <c r="U513" s="1117"/>
      <c r="V513" s="1117"/>
      <c r="W513" s="1117"/>
      <c r="X513" s="1117"/>
      <c r="Y513" s="1117"/>
      <c r="Z513" s="1117"/>
      <c r="AA513" s="1117"/>
      <c r="AB513" s="94"/>
      <c r="AC513" s="1167">
        <v>3</v>
      </c>
      <c r="AD513" s="1168"/>
      <c r="AE513" s="1168"/>
      <c r="AF513" s="1168"/>
      <c r="AG513" s="204" t="s">
        <v>437</v>
      </c>
      <c r="AH513" s="1222">
        <v>2020</v>
      </c>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455</v>
      </c>
      <c r="J514" s="25"/>
      <c r="K514" s="25"/>
      <c r="L514" s="25"/>
      <c r="M514" s="25"/>
      <c r="N514" s="25"/>
      <c r="O514" s="25"/>
      <c r="P514" s="25"/>
      <c r="Q514" s="25"/>
      <c r="R514" s="25"/>
      <c r="S514" s="25"/>
      <c r="T514" s="25"/>
      <c r="U514" s="25"/>
      <c r="V514" s="25"/>
      <c r="W514" s="25"/>
      <c r="X514" s="25"/>
      <c r="Y514" s="25"/>
      <c r="Z514" s="25"/>
      <c r="AA514" s="25"/>
      <c r="AB514" s="101"/>
      <c r="AC514" s="1455">
        <v>5</v>
      </c>
      <c r="AD514" s="1414"/>
      <c r="AE514" s="1414"/>
      <c r="AF514" s="1414"/>
      <c r="AG514" s="75" t="s">
        <v>437</v>
      </c>
      <c r="AH514" s="1222">
        <v>2020</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456</v>
      </c>
      <c r="J515" s="80"/>
      <c r="K515" s="80"/>
      <c r="L515" s="80"/>
      <c r="M515" s="80"/>
      <c r="N515" s="80"/>
      <c r="O515" s="80"/>
      <c r="P515" s="80"/>
      <c r="Q515" s="80"/>
      <c r="R515" s="80"/>
      <c r="S515" s="80"/>
      <c r="T515" s="80"/>
      <c r="U515" s="80"/>
      <c r="V515" s="80"/>
      <c r="W515" s="80"/>
      <c r="X515" s="80"/>
      <c r="Y515" s="80"/>
      <c r="Z515" s="80"/>
      <c r="AA515" s="80"/>
      <c r="AB515" s="81"/>
      <c r="AC515" s="1455">
        <v>12</v>
      </c>
      <c r="AD515" s="1414"/>
      <c r="AE515" s="1414"/>
      <c r="AF515" s="1414"/>
      <c r="AG515" s="65" t="s">
        <v>437</v>
      </c>
      <c r="AH515" s="1222">
        <v>2020</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457</v>
      </c>
      <c r="J516" s="72"/>
      <c r="K516" s="72"/>
      <c r="L516" s="72"/>
      <c r="M516" s="72"/>
      <c r="N516" s="72"/>
      <c r="O516" s="1093" t="s">
        <v>1734</v>
      </c>
      <c r="P516" s="1095"/>
      <c r="Q516" s="1095"/>
      <c r="R516" s="1095"/>
      <c r="S516" s="1095"/>
      <c r="T516" s="1095"/>
      <c r="U516" s="1095"/>
      <c r="V516" s="1095"/>
      <c r="W516" s="1095"/>
      <c r="X516" s="1095"/>
      <c r="Y516" s="1095"/>
      <c r="Z516" s="1095"/>
      <c r="AA516" s="1095"/>
      <c r="AC516" s="1455">
        <v>3</v>
      </c>
      <c r="AD516" s="1414"/>
      <c r="AE516" s="1414"/>
      <c r="AF516" s="1414"/>
      <c r="AG516" s="75" t="s">
        <v>437</v>
      </c>
      <c r="AH516" s="1222">
        <v>2020</v>
      </c>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455</v>
      </c>
      <c r="J517" s="25"/>
      <c r="K517" s="25"/>
      <c r="L517" s="25"/>
      <c r="M517" s="25"/>
      <c r="N517" s="25"/>
      <c r="O517" s="25"/>
      <c r="P517" s="25"/>
      <c r="Q517" s="25"/>
      <c r="R517" s="25"/>
      <c r="S517" s="25"/>
      <c r="T517" s="25"/>
      <c r="U517" s="25"/>
      <c r="V517" s="25"/>
      <c r="W517" s="25"/>
      <c r="X517" s="25"/>
      <c r="Y517" s="25"/>
      <c r="AC517" s="1455">
        <v>5</v>
      </c>
      <c r="AD517" s="1414"/>
      <c r="AE517" s="1414"/>
      <c r="AF517" s="1414"/>
      <c r="AG517" s="75" t="s">
        <v>437</v>
      </c>
      <c r="AH517" s="1222">
        <v>2020</v>
      </c>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456</v>
      </c>
      <c r="J518" s="80"/>
      <c r="K518" s="80"/>
      <c r="L518" s="80"/>
      <c r="M518" s="80"/>
      <c r="N518" s="80"/>
      <c r="O518" s="80"/>
      <c r="P518" s="80"/>
      <c r="Q518" s="80"/>
      <c r="R518" s="80"/>
      <c r="S518" s="80"/>
      <c r="T518" s="80"/>
      <c r="U518" s="80"/>
      <c r="V518" s="80"/>
      <c r="W518" s="80"/>
      <c r="X518" s="80"/>
      <c r="Y518" s="80"/>
      <c r="Z518" s="80"/>
      <c r="AA518" s="80"/>
      <c r="AB518" s="80"/>
      <c r="AC518" s="1455">
        <v>12</v>
      </c>
      <c r="AD518" s="1414"/>
      <c r="AE518" s="1414"/>
      <c r="AF518" s="1414"/>
      <c r="AG518" s="65" t="s">
        <v>437</v>
      </c>
      <c r="AH518" s="1222">
        <v>2020</v>
      </c>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457</v>
      </c>
      <c r="J519" s="72"/>
      <c r="K519" s="72"/>
      <c r="L519" s="72"/>
      <c r="M519" s="72"/>
      <c r="N519" s="72"/>
      <c r="O519" s="1095" t="s">
        <v>356</v>
      </c>
      <c r="P519" s="1095"/>
      <c r="Q519" s="1095"/>
      <c r="R519" s="1095"/>
      <c r="S519" s="1095"/>
      <c r="T519" s="1095"/>
      <c r="U519" s="1095"/>
      <c r="V519" s="1095"/>
      <c r="W519" s="1095"/>
      <c r="X519" s="1095"/>
      <c r="Y519" s="1095"/>
      <c r="Z519" s="1095"/>
      <c r="AA519" s="1095"/>
      <c r="AC519" s="1455" t="s">
        <v>641</v>
      </c>
      <c r="AD519" s="1414"/>
      <c r="AE519" s="1414"/>
      <c r="AF519" s="1414"/>
      <c r="AG519" s="75" t="s">
        <v>437</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455</v>
      </c>
      <c r="J520" s="25"/>
      <c r="K520" s="25"/>
      <c r="L520" s="25"/>
      <c r="M520" s="25"/>
      <c r="N520" s="25"/>
      <c r="O520" s="25"/>
      <c r="P520" s="25"/>
      <c r="Q520" s="25"/>
      <c r="R520" s="25"/>
      <c r="S520" s="25"/>
      <c r="T520" s="25"/>
      <c r="U520" s="25"/>
      <c r="V520" s="25"/>
      <c r="W520" s="25"/>
      <c r="X520" s="25"/>
      <c r="Y520" s="25"/>
      <c r="AC520" s="1455" t="s">
        <v>641</v>
      </c>
      <c r="AD520" s="1414"/>
      <c r="AE520" s="1414"/>
      <c r="AF520" s="1414"/>
      <c r="AG520" s="75" t="s">
        <v>437</v>
      </c>
      <c r="AH520" s="1222"/>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456</v>
      </c>
      <c r="J521" s="80"/>
      <c r="K521" s="80"/>
      <c r="L521" s="80"/>
      <c r="M521" s="80"/>
      <c r="N521" s="80"/>
      <c r="O521" s="80"/>
      <c r="P521" s="80"/>
      <c r="Q521" s="80"/>
      <c r="R521" s="80"/>
      <c r="S521" s="80"/>
      <c r="T521" s="80"/>
      <c r="U521" s="80"/>
      <c r="V521" s="80"/>
      <c r="W521" s="80"/>
      <c r="X521" s="80"/>
      <c r="Y521" s="80"/>
      <c r="Z521" s="80"/>
      <c r="AA521" s="80"/>
      <c r="AB521" s="80"/>
      <c r="AC521" s="1455" t="s">
        <v>641</v>
      </c>
      <c r="AD521" s="1414"/>
      <c r="AE521" s="1414"/>
      <c r="AF521" s="1414"/>
      <c r="AG521" s="65" t="s">
        <v>437</v>
      </c>
      <c r="AH521" s="1222"/>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457</v>
      </c>
      <c r="J522" s="72"/>
      <c r="K522" s="72"/>
      <c r="L522" s="72"/>
      <c r="M522" s="72"/>
      <c r="N522" s="72"/>
      <c r="O522" s="1095" t="s">
        <v>356</v>
      </c>
      <c r="P522" s="1095"/>
      <c r="Q522" s="1095"/>
      <c r="R522" s="1095"/>
      <c r="S522" s="1095"/>
      <c r="T522" s="1095"/>
      <c r="U522" s="1095"/>
      <c r="V522" s="1095"/>
      <c r="W522" s="1095"/>
      <c r="X522" s="1095"/>
      <c r="Y522" s="1095"/>
      <c r="Z522" s="1095"/>
      <c r="AA522" s="1095"/>
      <c r="AC522" s="1455" t="s">
        <v>641</v>
      </c>
      <c r="AD522" s="1414"/>
      <c r="AE522" s="1414"/>
      <c r="AF522" s="1414"/>
      <c r="AG522" s="75" t="s">
        <v>437</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455</v>
      </c>
      <c r="J523" s="25"/>
      <c r="K523" s="25"/>
      <c r="L523" s="25"/>
      <c r="M523" s="25"/>
      <c r="N523" s="25"/>
      <c r="O523" s="25"/>
      <c r="P523" s="25"/>
      <c r="Q523" s="25"/>
      <c r="R523" s="25"/>
      <c r="S523" s="25"/>
      <c r="T523" s="25"/>
      <c r="U523" s="25"/>
      <c r="V523" s="25"/>
      <c r="W523" s="25"/>
      <c r="X523" s="25"/>
      <c r="Y523" s="25"/>
      <c r="AC523" s="1455" t="s">
        <v>641</v>
      </c>
      <c r="AD523" s="1414"/>
      <c r="AE523" s="1414"/>
      <c r="AF523" s="1414"/>
      <c r="AG523" s="75" t="s">
        <v>437</v>
      </c>
      <c r="AH523" s="1222"/>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456</v>
      </c>
      <c r="J524" s="80"/>
      <c r="K524" s="80"/>
      <c r="L524" s="80"/>
      <c r="M524" s="80"/>
      <c r="N524" s="80"/>
      <c r="O524" s="80"/>
      <c r="P524" s="80"/>
      <c r="Q524" s="80"/>
      <c r="R524" s="80"/>
      <c r="S524" s="80"/>
      <c r="T524" s="80"/>
      <c r="U524" s="80"/>
      <c r="V524" s="80"/>
      <c r="W524" s="80"/>
      <c r="X524" s="80"/>
      <c r="Y524" s="80"/>
      <c r="Z524" s="80"/>
      <c r="AA524" s="80"/>
      <c r="AB524" s="80"/>
      <c r="AC524" s="1455" t="s">
        <v>641</v>
      </c>
      <c r="AD524" s="1414"/>
      <c r="AE524" s="1414"/>
      <c r="AF524" s="1414"/>
      <c r="AG524" s="65" t="s">
        <v>437</v>
      </c>
      <c r="AH524" s="1222"/>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457</v>
      </c>
      <c r="J525" s="72"/>
      <c r="K525" s="72"/>
      <c r="L525" s="72"/>
      <c r="M525" s="72"/>
      <c r="N525" s="72"/>
      <c r="O525" s="1095" t="s">
        <v>356</v>
      </c>
      <c r="P525" s="1095"/>
      <c r="Q525" s="1095"/>
      <c r="R525" s="1095"/>
      <c r="S525" s="1095"/>
      <c r="T525" s="1095"/>
      <c r="U525" s="1095"/>
      <c r="V525" s="1095"/>
      <c r="W525" s="1095"/>
      <c r="X525" s="1095"/>
      <c r="Y525" s="1095"/>
      <c r="Z525" s="1095"/>
      <c r="AA525" s="1095"/>
      <c r="AC525" s="1455" t="s">
        <v>641</v>
      </c>
      <c r="AD525" s="1414"/>
      <c r="AE525" s="1414"/>
      <c r="AF525" s="1414"/>
      <c r="AG525" s="75" t="s">
        <v>437</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455</v>
      </c>
      <c r="J526" s="25"/>
      <c r="K526" s="25"/>
      <c r="L526" s="25"/>
      <c r="M526" s="25"/>
      <c r="N526" s="25"/>
      <c r="O526" s="25"/>
      <c r="P526" s="25"/>
      <c r="Q526" s="25"/>
      <c r="R526" s="25"/>
      <c r="S526" s="25"/>
      <c r="T526" s="25"/>
      <c r="U526" s="25"/>
      <c r="V526" s="25"/>
      <c r="W526" s="25"/>
      <c r="X526" s="25"/>
      <c r="Y526" s="25"/>
      <c r="AC526" s="1455" t="s">
        <v>641</v>
      </c>
      <c r="AD526" s="1414"/>
      <c r="AE526" s="1414"/>
      <c r="AF526" s="1414"/>
      <c r="AG526" s="65" t="s">
        <v>437</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456</v>
      </c>
      <c r="J527" s="80"/>
      <c r="K527" s="80"/>
      <c r="L527" s="80"/>
      <c r="M527" s="80"/>
      <c r="N527" s="80"/>
      <c r="O527" s="80"/>
      <c r="P527" s="80"/>
      <c r="Q527" s="80"/>
      <c r="R527" s="80"/>
      <c r="S527" s="80"/>
      <c r="T527" s="80"/>
      <c r="U527" s="80"/>
      <c r="V527" s="80"/>
      <c r="W527" s="80"/>
      <c r="X527" s="80"/>
      <c r="Y527" s="80"/>
      <c r="Z527" s="80"/>
      <c r="AA527" s="80"/>
      <c r="AB527" s="80"/>
      <c r="AC527" s="1455" t="s">
        <v>641</v>
      </c>
      <c r="AD527" s="1414"/>
      <c r="AE527" s="1414"/>
      <c r="AF527" s="1414"/>
      <c r="AG527" s="75" t="s">
        <v>437</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457</v>
      </c>
      <c r="J528" s="72"/>
      <c r="K528" s="72"/>
      <c r="L528" s="72"/>
      <c r="M528" s="72"/>
      <c r="N528" s="72"/>
      <c r="O528" s="1095" t="s">
        <v>356</v>
      </c>
      <c r="P528" s="1095"/>
      <c r="Q528" s="1095"/>
      <c r="R528" s="1095"/>
      <c r="S528" s="1095"/>
      <c r="T528" s="1095"/>
      <c r="U528" s="1095"/>
      <c r="V528" s="1095"/>
      <c r="W528" s="1095"/>
      <c r="X528" s="1095"/>
      <c r="Y528" s="1095"/>
      <c r="Z528" s="1095"/>
      <c r="AA528" s="1095"/>
      <c r="AC528" s="1455" t="s">
        <v>641</v>
      </c>
      <c r="AD528" s="1414"/>
      <c r="AE528" s="1414"/>
      <c r="AF528" s="1414"/>
      <c r="AG528" s="65" t="s">
        <v>437</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455</v>
      </c>
      <c r="J529" s="25"/>
      <c r="K529" s="25"/>
      <c r="L529" s="25"/>
      <c r="M529" s="25"/>
      <c r="N529" s="25"/>
      <c r="O529" s="25"/>
      <c r="P529" s="25"/>
      <c r="Q529" s="25"/>
      <c r="R529" s="25"/>
      <c r="S529" s="25"/>
      <c r="T529" s="25"/>
      <c r="U529" s="25"/>
      <c r="V529" s="25"/>
      <c r="W529" s="25"/>
      <c r="X529" s="25"/>
      <c r="Y529" s="25"/>
      <c r="AC529" s="1455" t="s">
        <v>641</v>
      </c>
      <c r="AD529" s="1414"/>
      <c r="AE529" s="1414"/>
      <c r="AF529" s="1414"/>
      <c r="AG529" s="75" t="s">
        <v>437</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456</v>
      </c>
      <c r="J530" s="80"/>
      <c r="K530" s="80"/>
      <c r="L530" s="80"/>
      <c r="M530" s="80"/>
      <c r="N530" s="80"/>
      <c r="O530" s="80"/>
      <c r="P530" s="80"/>
      <c r="Q530" s="80"/>
      <c r="R530" s="80"/>
      <c r="S530" s="80"/>
      <c r="T530" s="80"/>
      <c r="U530" s="80"/>
      <c r="V530" s="80"/>
      <c r="W530" s="80"/>
      <c r="X530" s="80"/>
      <c r="Y530" s="80"/>
      <c r="Z530" s="80"/>
      <c r="AA530" s="80"/>
      <c r="AB530" s="80"/>
      <c r="AC530" s="1455" t="s">
        <v>641</v>
      </c>
      <c r="AD530" s="1414"/>
      <c r="AE530" s="1414"/>
      <c r="AF530" s="1414"/>
      <c r="AG530" s="65" t="s">
        <v>437</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610</v>
      </c>
      <c r="J531" s="72"/>
      <c r="K531" s="72"/>
      <c r="L531" s="72"/>
      <c r="M531" s="72"/>
      <c r="N531" s="72"/>
      <c r="O531" s="72"/>
      <c r="P531" s="72"/>
      <c r="Q531" s="72"/>
      <c r="R531" s="72"/>
      <c r="S531" s="72"/>
      <c r="T531" s="72"/>
      <c r="U531" s="72"/>
      <c r="V531" s="72"/>
      <c r="W531" s="72"/>
      <c r="X531" s="25"/>
      <c r="Y531" s="25"/>
      <c r="AC531" s="1455" t="s">
        <v>641</v>
      </c>
      <c r="AD531" s="1414"/>
      <c r="AE531" s="1414"/>
      <c r="AF531" s="1414"/>
      <c r="AG531" s="65" t="s">
        <v>437</v>
      </c>
      <c r="AH531" s="1222"/>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611</v>
      </c>
      <c r="J532" s="25"/>
      <c r="K532" s="25"/>
      <c r="L532" s="25"/>
      <c r="M532" s="25"/>
      <c r="N532" s="25"/>
      <c r="O532" s="25"/>
      <c r="P532" s="25"/>
      <c r="Q532" s="25"/>
      <c r="R532" s="25"/>
      <c r="S532" s="25"/>
      <c r="T532" s="25"/>
      <c r="U532" s="25"/>
      <c r="V532" s="25"/>
      <c r="W532" s="25"/>
      <c r="X532" s="25"/>
      <c r="Y532" s="25"/>
      <c r="AC532" s="1455">
        <v>12</v>
      </c>
      <c r="AD532" s="1414"/>
      <c r="AE532" s="1414"/>
      <c r="AF532" s="1414"/>
      <c r="AG532" s="75" t="s">
        <v>437</v>
      </c>
      <c r="AH532" s="1222">
        <v>2020</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612</v>
      </c>
      <c r="J533" s="25"/>
      <c r="K533" s="25"/>
      <c r="L533" s="25"/>
      <c r="M533" s="25"/>
      <c r="N533" s="25"/>
      <c r="O533" s="25"/>
      <c r="P533" s="25"/>
      <c r="Q533" s="25"/>
      <c r="R533" s="25"/>
      <c r="S533" s="25"/>
      <c r="T533" s="25"/>
      <c r="U533" s="25"/>
      <c r="V533" s="25"/>
      <c r="W533" s="25"/>
      <c r="X533" s="25"/>
      <c r="Y533" s="25"/>
      <c r="AC533" s="1455">
        <v>6</v>
      </c>
      <c r="AD533" s="1414"/>
      <c r="AE533" s="1414"/>
      <c r="AF533" s="1414"/>
      <c r="AG533" s="65" t="s">
        <v>437</v>
      </c>
      <c r="AH533" s="1222">
        <v>2022</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613</v>
      </c>
      <c r="J534" s="25"/>
      <c r="K534" s="25"/>
      <c r="L534" s="25"/>
      <c r="M534" s="25"/>
      <c r="N534" s="25"/>
      <c r="O534" s="25"/>
      <c r="P534" s="25"/>
      <c r="Q534" s="25"/>
      <c r="R534" s="25"/>
      <c r="S534" s="25"/>
      <c r="T534" s="25"/>
      <c r="U534" s="25"/>
      <c r="V534" s="25"/>
      <c r="W534" s="25"/>
      <c r="X534" s="25"/>
      <c r="Y534" s="25"/>
      <c r="AC534" s="1455">
        <v>8</v>
      </c>
      <c r="AD534" s="1414"/>
      <c r="AE534" s="1414"/>
      <c r="AF534" s="1414"/>
      <c r="AG534" s="65" t="s">
        <v>437</v>
      </c>
      <c r="AH534" s="1222">
        <v>2022</v>
      </c>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495</v>
      </c>
      <c r="J535" s="80"/>
      <c r="K535" s="80"/>
      <c r="L535" s="80"/>
      <c r="M535" s="80"/>
      <c r="N535" s="80"/>
      <c r="O535" s="80"/>
      <c r="P535" s="80"/>
      <c r="Q535" s="80"/>
      <c r="R535" s="80"/>
      <c r="S535" s="80"/>
      <c r="T535" s="80"/>
      <c r="U535" s="80"/>
      <c r="V535" s="80"/>
      <c r="W535" s="80"/>
      <c r="X535" s="80"/>
      <c r="Y535" s="80"/>
      <c r="Z535" s="80"/>
      <c r="AA535" s="80"/>
      <c r="AB535" s="80"/>
      <c r="AC535" s="1455">
        <v>9</v>
      </c>
      <c r="AD535" s="1414"/>
      <c r="AE535" s="1414"/>
      <c r="AF535" s="1414"/>
      <c r="AG535" s="65" t="s">
        <v>437</v>
      </c>
      <c r="AH535" s="1222">
        <v>2022</v>
      </c>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589</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497</v>
      </c>
      <c r="C544" s="1457"/>
      <c r="D544" s="1457"/>
      <c r="E544" s="1457"/>
      <c r="F544" s="1457"/>
      <c r="G544" s="1457"/>
      <c r="H544" s="1457"/>
      <c r="I544" s="1457"/>
      <c r="J544" s="1457"/>
      <c r="K544" s="1457"/>
      <c r="L544" s="1457"/>
      <c r="M544" s="1457"/>
      <c r="N544" s="1457"/>
      <c r="O544" s="1458"/>
      <c r="P544" s="1456" t="s">
        <v>345</v>
      </c>
      <c r="Q544" s="1457"/>
      <c r="R544" s="1457"/>
      <c r="S544" s="1457"/>
      <c r="T544" s="1458"/>
      <c r="U544" s="1456" t="s">
        <v>498</v>
      </c>
      <c r="V544" s="1457"/>
      <c r="W544" s="1457"/>
      <c r="X544" s="1457"/>
      <c r="Y544" s="1458"/>
      <c r="Z544" s="1515" t="s">
        <v>1424</v>
      </c>
      <c r="AA544" s="1516"/>
      <c r="AB544" s="1516"/>
      <c r="AC544" s="1516"/>
      <c r="AD544" s="1517"/>
      <c r="AE544" s="1456" t="s">
        <v>499</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0" t="s">
        <v>1736</v>
      </c>
      <c r="D545" s="1120"/>
      <c r="E545" s="1120"/>
      <c r="F545" s="1120"/>
      <c r="G545" s="1120"/>
      <c r="H545" s="1120"/>
      <c r="I545" s="1120"/>
      <c r="J545" s="1120"/>
      <c r="K545" s="1120"/>
      <c r="L545" s="1120"/>
      <c r="M545" s="1120"/>
      <c r="N545" s="1120"/>
      <c r="O545" s="1514"/>
      <c r="P545" s="1221">
        <v>28</v>
      </c>
      <c r="Q545" s="1222"/>
      <c r="R545" s="1222"/>
      <c r="S545" s="1222"/>
      <c r="T545" s="1223"/>
      <c r="U545" s="1423">
        <v>4.4200000000000003E-2</v>
      </c>
      <c r="V545" s="1424"/>
      <c r="W545" s="1424"/>
      <c r="X545" s="1424"/>
      <c r="Y545" s="1425"/>
      <c r="Z545" s="1585" t="s">
        <v>1735</v>
      </c>
      <c r="AA545" s="1586"/>
      <c r="AB545" s="1586"/>
      <c r="AC545" s="1586"/>
      <c r="AD545" s="1587"/>
      <c r="AE545" s="1139">
        <v>13004539</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0" t="s">
        <v>1737</v>
      </c>
      <c r="D546" s="1120"/>
      <c r="E546" s="1120"/>
      <c r="F546" s="1120"/>
      <c r="G546" s="1120"/>
      <c r="H546" s="1120"/>
      <c r="I546" s="1120"/>
      <c r="J546" s="1120"/>
      <c r="K546" s="1120"/>
      <c r="L546" s="1120"/>
      <c r="M546" s="1120"/>
      <c r="N546" s="1120"/>
      <c r="O546" s="1514"/>
      <c r="P546" s="1221">
        <v>28</v>
      </c>
      <c r="Q546" s="1222"/>
      <c r="R546" s="1222"/>
      <c r="S546" s="1222"/>
      <c r="T546" s="1223"/>
      <c r="U546" s="1423">
        <v>4.6699999999999998E-2</v>
      </c>
      <c r="V546" s="1424"/>
      <c r="W546" s="1424"/>
      <c r="X546" s="1424"/>
      <c r="Y546" s="1425"/>
      <c r="Z546" s="1585" t="s">
        <v>1735</v>
      </c>
      <c r="AA546" s="1586"/>
      <c r="AB546" s="1586"/>
      <c r="AC546" s="1586"/>
      <c r="AD546" s="1587"/>
      <c r="AE546" s="1139">
        <v>3512200</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0" t="s">
        <v>1739</v>
      </c>
      <c r="D547" s="1100"/>
      <c r="E547" s="1100"/>
      <c r="F547" s="1100"/>
      <c r="G547" s="1100"/>
      <c r="H547" s="1100"/>
      <c r="I547" s="1100"/>
      <c r="J547" s="1100"/>
      <c r="K547" s="1100"/>
      <c r="L547" s="1100"/>
      <c r="M547" s="1100"/>
      <c r="N547" s="1100"/>
      <c r="O547" s="1224"/>
      <c r="P547" s="1221">
        <v>660</v>
      </c>
      <c r="Q547" s="1222"/>
      <c r="R547" s="1222"/>
      <c r="S547" s="1222"/>
      <c r="T547" s="1223"/>
      <c r="U547" s="1423">
        <v>0.04</v>
      </c>
      <c r="V547" s="1424"/>
      <c r="W547" s="1424"/>
      <c r="X547" s="1424"/>
      <c r="Y547" s="1425"/>
      <c r="Z547" s="1219" t="s">
        <v>1738</v>
      </c>
      <c r="AA547" s="1219"/>
      <c r="AB547" s="1219"/>
      <c r="AC547" s="1219"/>
      <c r="AD547" s="1220"/>
      <c r="AE547" s="1139">
        <v>6344004</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0" t="s">
        <v>1744</v>
      </c>
      <c r="D548" s="1100"/>
      <c r="E548" s="1100"/>
      <c r="F548" s="1100"/>
      <c r="G548" s="1100"/>
      <c r="H548" s="1100"/>
      <c r="I548" s="1100"/>
      <c r="J548" s="1100"/>
      <c r="K548" s="1100"/>
      <c r="L548" s="1100"/>
      <c r="M548" s="1100"/>
      <c r="N548" s="1100"/>
      <c r="O548" s="1224"/>
      <c r="P548" s="1221"/>
      <c r="Q548" s="1222"/>
      <c r="R548" s="1222"/>
      <c r="S548" s="1222"/>
      <c r="T548" s="1223"/>
      <c r="U548" s="1423"/>
      <c r="V548" s="1424"/>
      <c r="W548" s="1424"/>
      <c r="X548" s="1424"/>
      <c r="Y548" s="1425"/>
      <c r="Z548" s="1219" t="s">
        <v>641</v>
      </c>
      <c r="AA548" s="1219"/>
      <c r="AB548" s="1219"/>
      <c r="AC548" s="1219"/>
      <c r="AD548" s="1220"/>
      <c r="AE548" s="1139">
        <v>174125</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0" t="s">
        <v>1740</v>
      </c>
      <c r="D549" s="1100"/>
      <c r="E549" s="1100"/>
      <c r="F549" s="1100"/>
      <c r="G549" s="1100"/>
      <c r="H549" s="1100"/>
      <c r="I549" s="1100"/>
      <c r="J549" s="1100"/>
      <c r="K549" s="1100"/>
      <c r="L549" s="1100"/>
      <c r="M549" s="1100"/>
      <c r="N549" s="1100"/>
      <c r="O549" s="1224"/>
      <c r="P549" s="1221"/>
      <c r="Q549" s="1222"/>
      <c r="R549" s="1222"/>
      <c r="S549" s="1222"/>
      <c r="T549" s="1223"/>
      <c r="U549" s="1423"/>
      <c r="V549" s="1424"/>
      <c r="W549" s="1424"/>
      <c r="X549" s="1424"/>
      <c r="Y549" s="1425"/>
      <c r="Z549" s="1219" t="s">
        <v>641</v>
      </c>
      <c r="AA549" s="1219"/>
      <c r="AB549" s="1219"/>
      <c r="AC549" s="1219"/>
      <c r="AD549" s="1220"/>
      <c r="AE549" s="1139">
        <v>856147</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0" t="s">
        <v>1741</v>
      </c>
      <c r="D550" s="1100"/>
      <c r="E550" s="1100"/>
      <c r="F550" s="1100"/>
      <c r="G550" s="1100"/>
      <c r="H550" s="1100"/>
      <c r="I550" s="1100"/>
      <c r="J550" s="1100"/>
      <c r="K550" s="1100"/>
      <c r="L550" s="1100"/>
      <c r="M550" s="1100"/>
      <c r="N550" s="1100"/>
      <c r="O550" s="1224"/>
      <c r="P550" s="1221"/>
      <c r="Q550" s="1222"/>
      <c r="R550" s="1222"/>
      <c r="S550" s="1222"/>
      <c r="T550" s="1223"/>
      <c r="U550" s="1423"/>
      <c r="V550" s="1424"/>
      <c r="W550" s="1424"/>
      <c r="X550" s="1424"/>
      <c r="Y550" s="1425"/>
      <c r="Z550" s="1219" t="s">
        <v>641</v>
      </c>
      <c r="AA550" s="1219"/>
      <c r="AB550" s="1219"/>
      <c r="AC550" s="1219"/>
      <c r="AD550" s="1220"/>
      <c r="AE550" s="1139">
        <v>1410233</v>
      </c>
      <c r="AF550" s="1140"/>
      <c r="AG550" s="1140"/>
      <c r="AH550" s="1140"/>
      <c r="AI550" s="1140"/>
      <c r="AJ550" s="1140"/>
      <c r="AK550" s="114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20" t="s">
        <v>1742</v>
      </c>
      <c r="D551" s="1100"/>
      <c r="E551" s="1100"/>
      <c r="F551" s="1100"/>
      <c r="G551" s="1100"/>
      <c r="H551" s="1100"/>
      <c r="I551" s="1100"/>
      <c r="J551" s="1100"/>
      <c r="K551" s="1100"/>
      <c r="L551" s="1100"/>
      <c r="M551" s="1100"/>
      <c r="N551" s="1100"/>
      <c r="O551" s="1224"/>
      <c r="P551" s="1221"/>
      <c r="Q551" s="1222"/>
      <c r="R551" s="1222"/>
      <c r="S551" s="1222"/>
      <c r="T551" s="1223"/>
      <c r="U551" s="1423"/>
      <c r="V551" s="1424"/>
      <c r="W551" s="1424"/>
      <c r="X551" s="1424"/>
      <c r="Y551" s="1425"/>
      <c r="Z551" s="1219" t="s">
        <v>641</v>
      </c>
      <c r="AA551" s="1219"/>
      <c r="AB551" s="1219"/>
      <c r="AC551" s="1219"/>
      <c r="AD551" s="1220"/>
      <c r="AE551" s="1139">
        <v>100</v>
      </c>
      <c r="AF551" s="1140"/>
      <c r="AG551" s="1140"/>
      <c r="AH551" s="1140"/>
      <c r="AI551" s="1140"/>
      <c r="AJ551" s="1140"/>
      <c r="AK551" s="114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20" t="s">
        <v>1743</v>
      </c>
      <c r="D552" s="1100"/>
      <c r="E552" s="1100"/>
      <c r="F552" s="1100"/>
      <c r="G552" s="1100"/>
      <c r="H552" s="1100"/>
      <c r="I552" s="1100"/>
      <c r="J552" s="1100"/>
      <c r="K552" s="1100"/>
      <c r="L552" s="1100"/>
      <c r="M552" s="1100"/>
      <c r="N552" s="1100"/>
      <c r="O552" s="1224"/>
      <c r="P552" s="1221"/>
      <c r="Q552" s="1222"/>
      <c r="R552" s="1222"/>
      <c r="S552" s="1222"/>
      <c r="T552" s="1223"/>
      <c r="U552" s="1423"/>
      <c r="V552" s="1424"/>
      <c r="W552" s="1424"/>
      <c r="X552" s="1424"/>
      <c r="Y552" s="1425"/>
      <c r="Z552" s="1219" t="s">
        <v>641</v>
      </c>
      <c r="AA552" s="1219"/>
      <c r="AB552" s="1219"/>
      <c r="AC552" s="1219"/>
      <c r="AD552" s="1220"/>
      <c r="AE552" s="1139">
        <v>553069</v>
      </c>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24"/>
      <c r="P553" s="1221"/>
      <c r="Q553" s="1222"/>
      <c r="R553" s="1222"/>
      <c r="S553" s="1222"/>
      <c r="T553" s="1223"/>
      <c r="U553" s="1423"/>
      <c r="V553" s="1424"/>
      <c r="W553" s="1424"/>
      <c r="X553" s="1424"/>
      <c r="Y553" s="1425"/>
      <c r="Z553" s="1219" t="s">
        <v>1425</v>
      </c>
      <c r="AA553" s="1219"/>
      <c r="AB553" s="1219"/>
      <c r="AC553" s="1219"/>
      <c r="AD553" s="1220"/>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24"/>
      <c r="P554" s="1221"/>
      <c r="Q554" s="1222"/>
      <c r="R554" s="1222"/>
      <c r="S554" s="1222"/>
      <c r="T554" s="1223"/>
      <c r="U554" s="1423"/>
      <c r="V554" s="1424"/>
      <c r="W554" s="1424"/>
      <c r="X554" s="1424"/>
      <c r="Y554" s="1425"/>
      <c r="Z554" s="1219" t="s">
        <v>1425</v>
      </c>
      <c r="AA554" s="1219"/>
      <c r="AB554" s="1219"/>
      <c r="AC554" s="1219"/>
      <c r="AD554" s="1220"/>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0"/>
      <c r="D555" s="1100"/>
      <c r="E555" s="1100"/>
      <c r="F555" s="1100"/>
      <c r="G555" s="1100"/>
      <c r="H555" s="1100"/>
      <c r="I555" s="1100"/>
      <c r="J555" s="1100"/>
      <c r="K555" s="1100"/>
      <c r="L555" s="1100"/>
      <c r="M555" s="1100"/>
      <c r="N555" s="1100"/>
      <c r="O555" s="1224"/>
      <c r="P555" s="1221"/>
      <c r="Q555" s="1222"/>
      <c r="R555" s="1222"/>
      <c r="S555" s="1222"/>
      <c r="T555" s="1223"/>
      <c r="U555" s="1423"/>
      <c r="V555" s="1424"/>
      <c r="W555" s="1424"/>
      <c r="X555" s="1424"/>
      <c r="Y555" s="1425"/>
      <c r="Z555" s="1219" t="s">
        <v>1425</v>
      </c>
      <c r="AA555" s="1219"/>
      <c r="AB555" s="1219"/>
      <c r="AC555" s="1219"/>
      <c r="AD555" s="1220"/>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0"/>
      <c r="D556" s="1100"/>
      <c r="E556" s="1100"/>
      <c r="F556" s="1100"/>
      <c r="G556" s="1100"/>
      <c r="H556" s="1100"/>
      <c r="I556" s="1100"/>
      <c r="J556" s="1100"/>
      <c r="K556" s="1100"/>
      <c r="L556" s="1100"/>
      <c r="M556" s="1100"/>
      <c r="N556" s="1100"/>
      <c r="O556" s="1224"/>
      <c r="P556" s="1221"/>
      <c r="Q556" s="1222"/>
      <c r="R556" s="1222"/>
      <c r="S556" s="1222"/>
      <c r="T556" s="1223"/>
      <c r="U556" s="1423"/>
      <c r="V556" s="1424"/>
      <c r="W556" s="1424"/>
      <c r="X556" s="1424"/>
      <c r="Y556" s="1425"/>
      <c r="Z556" s="1219" t="s">
        <v>1425</v>
      </c>
      <c r="AA556" s="1219"/>
      <c r="AB556" s="1219"/>
      <c r="AC556" s="1219"/>
      <c r="AD556" s="1220"/>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25854417</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7" t="str">
        <f>C545</f>
        <v>US Bank - tax exempt construction loan</v>
      </c>
      <c r="H559" s="1097"/>
      <c r="I559" s="1097"/>
      <c r="J559" s="1097"/>
      <c r="K559" s="1097"/>
      <c r="L559" s="1097"/>
      <c r="M559" s="1097"/>
      <c r="N559" s="1097"/>
      <c r="O559" s="1097"/>
      <c r="P559" s="1097"/>
      <c r="Q559" s="1097"/>
      <c r="R559" s="1097"/>
      <c r="S559" s="14"/>
      <c r="T559" s="87" t="s">
        <v>120</v>
      </c>
      <c r="U559" s="12" t="s">
        <v>509</v>
      </c>
      <c r="Z559" s="1097" t="str">
        <f>C546</f>
        <v>US Bank - taxable construction loan</v>
      </c>
      <c r="AA559" s="1097"/>
      <c r="AB559" s="1097"/>
      <c r="AC559" s="1097"/>
      <c r="AD559" s="1097"/>
      <c r="AE559" s="1097"/>
      <c r="AF559" s="1097"/>
      <c r="AG559" s="1097"/>
      <c r="AH559" s="1097"/>
      <c r="AI559" s="1097"/>
      <c r="AJ559" s="1097"/>
      <c r="AK559" s="109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1745</v>
      </c>
      <c r="H560" s="1095"/>
      <c r="I560" s="1095"/>
      <c r="J560" s="1095"/>
      <c r="K560" s="1095"/>
      <c r="L560" s="1095"/>
      <c r="M560" s="1095"/>
      <c r="N560" s="1095"/>
      <c r="O560" s="1095"/>
      <c r="P560" s="1095"/>
      <c r="Q560" s="1095"/>
      <c r="R560" s="1095"/>
      <c r="S560" s="14"/>
      <c r="T560" s="35"/>
      <c r="U560" s="12" t="s">
        <v>92</v>
      </c>
      <c r="Z560" s="1093" t="s">
        <v>1745</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3" t="s">
        <v>1746</v>
      </c>
      <c r="H561" s="1095"/>
      <c r="I561" s="1095"/>
      <c r="J561" s="1095"/>
      <c r="K561" s="1095"/>
      <c r="L561" s="1095"/>
      <c r="M561" s="1095"/>
      <c r="N561" s="1095"/>
      <c r="O561" s="1095"/>
      <c r="P561" s="1095"/>
      <c r="Q561" s="1095"/>
      <c r="R561" s="1095"/>
      <c r="S561" s="88"/>
      <c r="T561" s="35"/>
      <c r="U561" s="12" t="s">
        <v>630</v>
      </c>
      <c r="Z561" s="1120" t="s">
        <v>1747</v>
      </c>
      <c r="AA561" s="1117"/>
      <c r="AB561" s="1117"/>
      <c r="AC561" s="1117"/>
      <c r="AD561" s="1117"/>
      <c r="AE561" s="1117"/>
      <c r="AF561" s="1117"/>
      <c r="AG561" s="1117"/>
      <c r="AH561" s="1117"/>
      <c r="AI561" s="1117"/>
      <c r="AJ561" s="1117"/>
      <c r="AK561" s="111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1748</v>
      </c>
      <c r="H562" s="1095"/>
      <c r="I562" s="1095"/>
      <c r="J562" s="1095"/>
      <c r="K562" s="1095"/>
      <c r="L562" s="1095"/>
      <c r="M562" s="1095"/>
      <c r="N562" s="1095"/>
      <c r="O562" s="1095"/>
      <c r="P562" s="1095"/>
      <c r="Q562" s="1095"/>
      <c r="R562" s="1095"/>
      <c r="S562" s="14"/>
      <c r="T562" s="35"/>
      <c r="U562" s="12" t="s">
        <v>19</v>
      </c>
      <c r="Z562" s="1120" t="s">
        <v>1748</v>
      </c>
      <c r="AA562" s="1117"/>
      <c r="AB562" s="1117"/>
      <c r="AC562" s="1117"/>
      <c r="AD562" s="1117"/>
      <c r="AE562" s="1117"/>
      <c r="AF562" s="1117"/>
      <c r="AG562" s="1117"/>
      <c r="AH562" s="1117"/>
      <c r="AI562" s="1117"/>
      <c r="AJ562" s="1117"/>
      <c r="AK562" s="111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8" t="s">
        <v>1749</v>
      </c>
      <c r="H563" s="1099"/>
      <c r="I563" s="1099"/>
      <c r="J563" s="1099"/>
      <c r="K563" s="1099"/>
      <c r="L563" s="1099"/>
      <c r="O563" s="140" t="s">
        <v>219</v>
      </c>
      <c r="P563" s="1100"/>
      <c r="Q563" s="1100"/>
      <c r="R563" s="1100"/>
      <c r="S563" s="16"/>
      <c r="T563" s="35"/>
      <c r="U563" s="12" t="s">
        <v>337</v>
      </c>
      <c r="Z563" s="1098" t="s">
        <v>1749</v>
      </c>
      <c r="AA563" s="1099"/>
      <c r="AB563" s="1099"/>
      <c r="AC563" s="1099"/>
      <c r="AD563" s="1099"/>
      <c r="AE563" s="1099"/>
      <c r="AH563" s="140" t="s">
        <v>219</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1750</v>
      </c>
      <c r="I564" s="1095"/>
      <c r="J564" s="1095"/>
      <c r="K564" s="1095"/>
      <c r="L564" s="1095"/>
      <c r="M564" s="1095"/>
      <c r="N564" s="1095"/>
      <c r="O564" s="1095"/>
      <c r="P564" s="1095"/>
      <c r="Q564" s="1095"/>
      <c r="R564" s="1095"/>
      <c r="S564" s="14"/>
      <c r="T564" s="35"/>
      <c r="U564" s="12" t="s">
        <v>20</v>
      </c>
      <c r="AA564" s="1093" t="s">
        <v>1750</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0" t="s">
        <v>1751</v>
      </c>
      <c r="N565" s="1521"/>
      <c r="O565" s="1521"/>
      <c r="P565" s="1521"/>
      <c r="Q565" s="1521"/>
      <c r="R565" s="1521"/>
      <c r="S565" s="14"/>
      <c r="T565" s="35"/>
      <c r="U565" s="530" t="s">
        <v>1426</v>
      </c>
      <c r="V565" s="743"/>
      <c r="W565" s="743"/>
      <c r="X565" s="743"/>
      <c r="Y565" s="743"/>
      <c r="Z565" s="743"/>
      <c r="AA565" s="14"/>
      <c r="AB565" s="14"/>
      <c r="AC565" s="14"/>
      <c r="AD565" s="14"/>
      <c r="AE565" s="14"/>
      <c r="AF565" s="1520" t="s">
        <v>1751</v>
      </c>
      <c r="AG565" s="1521"/>
      <c r="AH565" s="1521"/>
      <c r="AI565" s="1521"/>
      <c r="AJ565" s="1521"/>
      <c r="AK565" s="152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500" t="s">
        <v>591</v>
      </c>
      <c r="O566" s="1096"/>
      <c r="T566" s="35"/>
      <c r="U566" s="12" t="s">
        <v>22</v>
      </c>
      <c r="AG566" s="1500" t="s">
        <v>591</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7" t="str">
        <f>C547</f>
        <v>SRC-PH Affordable Funding gap loan</v>
      </c>
      <c r="H568" s="1097"/>
      <c r="I568" s="1097"/>
      <c r="J568" s="1097"/>
      <c r="K568" s="1097"/>
      <c r="L568" s="1097"/>
      <c r="M568" s="1097"/>
      <c r="N568" s="1097"/>
      <c r="O568" s="1097"/>
      <c r="P568" s="1097"/>
      <c r="Q568" s="1097"/>
      <c r="R568" s="1097"/>
      <c r="T568" s="87" t="s">
        <v>631</v>
      </c>
      <c r="U568" s="12" t="s">
        <v>509</v>
      </c>
      <c r="Z568" s="1097" t="str">
        <f>C548</f>
        <v>Accrued defered interest - SRC PH loan</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1752</v>
      </c>
      <c r="H569" s="1095"/>
      <c r="I569" s="1095"/>
      <c r="J569" s="1095"/>
      <c r="K569" s="1095"/>
      <c r="L569" s="1095"/>
      <c r="M569" s="1095"/>
      <c r="N569" s="1095"/>
      <c r="O569" s="1095"/>
      <c r="P569" s="1095"/>
      <c r="Q569" s="1095"/>
      <c r="R569" s="1095"/>
      <c r="T569" s="35"/>
      <c r="U569" s="12" t="s">
        <v>92</v>
      </c>
      <c r="Z569" s="1093" t="s">
        <v>1753</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0" t="s">
        <v>1722</v>
      </c>
      <c r="H570" s="1117"/>
      <c r="I570" s="1117"/>
      <c r="J570" s="1117"/>
      <c r="K570" s="1117"/>
      <c r="L570" s="1117"/>
      <c r="M570" s="1117"/>
      <c r="N570" s="1117"/>
      <c r="O570" s="1117"/>
      <c r="P570" s="1117"/>
      <c r="Q570" s="1117"/>
      <c r="R570" s="1117"/>
      <c r="T570" s="35"/>
      <c r="U570" s="12" t="s">
        <v>630</v>
      </c>
      <c r="Z570" s="1117"/>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1719</v>
      </c>
      <c r="H571" s="1117"/>
      <c r="I571" s="1117"/>
      <c r="J571" s="1117"/>
      <c r="K571" s="1117"/>
      <c r="L571" s="1117"/>
      <c r="M571" s="1117"/>
      <c r="N571" s="1117"/>
      <c r="O571" s="1117"/>
      <c r="P571" s="1117"/>
      <c r="Q571" s="1117"/>
      <c r="R571" s="1117"/>
      <c r="T571" s="35"/>
      <c r="U571" s="12" t="s">
        <v>19</v>
      </c>
      <c r="Z571" s="1117"/>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8" t="s">
        <v>1723</v>
      </c>
      <c r="H572" s="1099"/>
      <c r="I572" s="1099"/>
      <c r="J572" s="1099"/>
      <c r="K572" s="1099"/>
      <c r="L572" s="1099"/>
      <c r="O572" s="140" t="s">
        <v>219</v>
      </c>
      <c r="P572" s="1100"/>
      <c r="Q572" s="1100"/>
      <c r="R572" s="1100"/>
      <c r="T572" s="35"/>
      <c r="U572" s="12" t="s">
        <v>337</v>
      </c>
      <c r="Z572" s="1099"/>
      <c r="AA572" s="1099"/>
      <c r="AB572" s="1099"/>
      <c r="AC572" s="1099"/>
      <c r="AD572" s="1099"/>
      <c r="AE572" s="1099"/>
      <c r="AH572" s="140" t="s">
        <v>219</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1754</v>
      </c>
      <c r="I573" s="1095"/>
      <c r="J573" s="1095"/>
      <c r="K573" s="1095"/>
      <c r="L573" s="1095"/>
      <c r="M573" s="1095"/>
      <c r="N573" s="1095"/>
      <c r="O573" s="1095"/>
      <c r="P573" s="1095"/>
      <c r="Q573" s="1095"/>
      <c r="R573" s="1095"/>
      <c r="T573" s="35"/>
      <c r="U573" s="12" t="s">
        <v>20</v>
      </c>
      <c r="AA573" s="1095"/>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500" t="s">
        <v>591</v>
      </c>
      <c r="O574" s="1096"/>
      <c r="T574" s="35"/>
      <c r="U574" s="12" t="s">
        <v>22</v>
      </c>
      <c r="AG574" s="1500" t="s">
        <v>591</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7" t="str">
        <f>C549</f>
        <v>Costs deferred to Conversion</v>
      </c>
      <c r="H576" s="1097"/>
      <c r="I576" s="1097"/>
      <c r="J576" s="1097"/>
      <c r="K576" s="1097"/>
      <c r="L576" s="1097"/>
      <c r="M576" s="1097"/>
      <c r="N576" s="1097"/>
      <c r="O576" s="1097"/>
      <c r="P576" s="1097"/>
      <c r="Q576" s="1097"/>
      <c r="R576" s="1097"/>
      <c r="T576" s="87" t="s">
        <v>634</v>
      </c>
      <c r="U576" s="12" t="s">
        <v>509</v>
      </c>
      <c r="Z576" s="1097" t="str">
        <f>C550</f>
        <v>GP Capital Contribution (developer fee)</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1755</v>
      </c>
      <c r="H577" s="1095"/>
      <c r="I577" s="1095"/>
      <c r="J577" s="1095"/>
      <c r="K577" s="1095"/>
      <c r="L577" s="1095"/>
      <c r="M577" s="1095"/>
      <c r="N577" s="1095"/>
      <c r="O577" s="1095"/>
      <c r="P577" s="1095"/>
      <c r="Q577" s="1095"/>
      <c r="R577" s="1095"/>
      <c r="T577" s="35"/>
      <c r="U577" s="12" t="s">
        <v>92</v>
      </c>
      <c r="Z577" s="1093" t="s">
        <v>1756</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3" t="s">
        <v>1674</v>
      </c>
      <c r="H578" s="1095"/>
      <c r="I578" s="1095"/>
      <c r="J578" s="1095"/>
      <c r="K578" s="1095"/>
      <c r="L578" s="1095"/>
      <c r="M578" s="1095"/>
      <c r="N578" s="1095"/>
      <c r="O578" s="1095"/>
      <c r="P578" s="1095"/>
      <c r="Q578" s="1095"/>
      <c r="R578" s="1095"/>
      <c r="T578" s="35"/>
      <c r="U578" s="12" t="s">
        <v>630</v>
      </c>
      <c r="Z578" s="1117"/>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t="s">
        <v>1668</v>
      </c>
      <c r="H579" s="1095"/>
      <c r="I579" s="1095"/>
      <c r="J579" s="1095"/>
      <c r="K579" s="1095"/>
      <c r="L579" s="1095"/>
      <c r="M579" s="1095"/>
      <c r="N579" s="1095"/>
      <c r="O579" s="1095"/>
      <c r="P579" s="1095"/>
      <c r="Q579" s="1095"/>
      <c r="R579" s="1095"/>
      <c r="T579" s="35"/>
      <c r="U579" s="12" t="s">
        <v>19</v>
      </c>
      <c r="Z579" s="1117"/>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8" t="s">
        <v>1669</v>
      </c>
      <c r="H580" s="1099"/>
      <c r="I580" s="1099"/>
      <c r="J580" s="1099"/>
      <c r="K580" s="1099"/>
      <c r="L580" s="1099"/>
      <c r="O580" s="140" t="s">
        <v>219</v>
      </c>
      <c r="P580" s="1100"/>
      <c r="Q580" s="1100"/>
      <c r="R580" s="1100"/>
      <c r="T580" s="35"/>
      <c r="U580" s="12" t="s">
        <v>337</v>
      </c>
      <c r="Z580" s="1099"/>
      <c r="AA580" s="1099"/>
      <c r="AB580" s="1099"/>
      <c r="AC580" s="1099"/>
      <c r="AD580" s="1099"/>
      <c r="AE580" s="1099"/>
      <c r="AH580" s="140" t="s">
        <v>219</v>
      </c>
      <c r="AI580" s="1100"/>
      <c r="AJ580" s="1100"/>
      <c r="AK580" s="1100"/>
    </row>
    <row r="581" spans="1:112" ht="12.75">
      <c r="A581" s="35"/>
      <c r="B581" s="12" t="s">
        <v>20</v>
      </c>
      <c r="H581" s="1093" t="s">
        <v>1757</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500" t="s">
        <v>591</v>
      </c>
      <c r="O582" s="1096"/>
      <c r="T582" s="35"/>
      <c r="U582" s="12" t="s">
        <v>22</v>
      </c>
      <c r="AG582" s="1500" t="s">
        <v>591</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7" t="str">
        <f>C551</f>
        <v>GP Capital</v>
      </c>
      <c r="H584" s="1097"/>
      <c r="I584" s="1097"/>
      <c r="J584" s="1097"/>
      <c r="K584" s="1097"/>
      <c r="L584" s="1097"/>
      <c r="M584" s="1097"/>
      <c r="N584" s="1097"/>
      <c r="O584" s="1097"/>
      <c r="P584" s="1097"/>
      <c r="Q584" s="1097"/>
      <c r="R584" s="1097"/>
      <c r="T584" s="87" t="s">
        <v>501</v>
      </c>
      <c r="U584" s="12" t="s">
        <v>509</v>
      </c>
      <c r="Z584" s="1097" t="str">
        <f>C552</f>
        <v>Limited Partner Equity</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t="s">
        <v>1758</v>
      </c>
      <c r="H585" s="1095"/>
      <c r="I585" s="1095"/>
      <c r="J585" s="1095"/>
      <c r="K585" s="1095"/>
      <c r="L585" s="1095"/>
      <c r="M585" s="1095"/>
      <c r="N585" s="1095"/>
      <c r="O585" s="1095"/>
      <c r="P585" s="1095"/>
      <c r="Q585" s="1095"/>
      <c r="R585" s="1095"/>
      <c r="T585" s="35"/>
      <c r="U585" s="12" t="s">
        <v>92</v>
      </c>
      <c r="Z585" s="1093" t="s">
        <v>1759</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099"/>
      <c r="H588" s="1099"/>
      <c r="I588" s="1099"/>
      <c r="J588" s="1099"/>
      <c r="K588" s="1099"/>
      <c r="L588" s="1099"/>
      <c r="M588" s="12"/>
      <c r="N588" s="12"/>
      <c r="O588" s="140" t="s">
        <v>219</v>
      </c>
      <c r="P588" s="1100"/>
      <c r="Q588" s="1100"/>
      <c r="R588" s="1100"/>
      <c r="S588" s="12"/>
      <c r="T588" s="35"/>
      <c r="U588" s="12" t="s">
        <v>337</v>
      </c>
      <c r="V588" s="12"/>
      <c r="W588" s="12"/>
      <c r="X588" s="12"/>
      <c r="Y588" s="12"/>
      <c r="Z588" s="1099"/>
      <c r="AA588" s="1099"/>
      <c r="AB588" s="1099"/>
      <c r="AC588" s="1099"/>
      <c r="AD588" s="1099"/>
      <c r="AE588" s="1099"/>
      <c r="AF588" s="12"/>
      <c r="AG588" s="12"/>
      <c r="AH588" s="140" t="s">
        <v>219</v>
      </c>
      <c r="AI588" s="1100"/>
      <c r="AJ588" s="1100"/>
      <c r="AK588" s="1100"/>
      <c r="AL588" s="12"/>
      <c r="AM588" s="7" t="s">
        <v>346</v>
      </c>
      <c r="AN588" s="58"/>
      <c r="AO588" s="58"/>
      <c r="AP588" s="58"/>
      <c r="AQ588" s="58"/>
      <c r="AR588" s="193" t="s">
        <v>520</v>
      </c>
      <c r="AS588" s="194"/>
      <c r="AT588" s="1131"/>
      <c r="AU588" s="1133"/>
      <c r="AV588" s="193" t="s">
        <v>521</v>
      </c>
      <c r="AW588" s="194"/>
      <c r="AX588" s="1131"/>
      <c r="AY588" s="1133"/>
      <c r="AZ588" s="58"/>
      <c r="BA588" s="1214" t="s">
        <v>683</v>
      </c>
      <c r="BB588" s="1215"/>
      <c r="BC588" s="1215"/>
      <c r="BD588" s="1215"/>
      <c r="BE588" s="1216"/>
      <c r="BF588" s="1200" t="s">
        <v>347</v>
      </c>
      <c r="BG588" s="1200"/>
      <c r="BH588" s="1200"/>
      <c r="BI588" s="1200"/>
      <c r="BJ588" s="1200"/>
      <c r="BK588" s="1200" t="s">
        <v>170</v>
      </c>
      <c r="BL588" s="1200"/>
      <c r="BM588" s="1200"/>
      <c r="BN588" s="1200"/>
      <c r="BO588" s="1200"/>
      <c r="BP588" s="1200" t="s">
        <v>171</v>
      </c>
      <c r="BQ588" s="1200"/>
      <c r="BR588" s="1200"/>
      <c r="BS588" s="1200"/>
      <c r="BT588" s="1200"/>
      <c r="BU588" s="1200" t="s">
        <v>506</v>
      </c>
      <c r="BV588" s="1200"/>
      <c r="BW588" s="1200"/>
      <c r="BX588" s="1200"/>
      <c r="BY588" s="1200"/>
      <c r="BZ588" s="1200" t="s">
        <v>33</v>
      </c>
      <c r="CA588" s="1200"/>
      <c r="CB588" s="1200"/>
      <c r="CC588" s="1200"/>
      <c r="CD588" s="1200"/>
      <c r="CE588" s="1200" t="s">
        <v>683</v>
      </c>
      <c r="CF588" s="1200"/>
      <c r="CG588" s="1200"/>
      <c r="CH588" s="1200"/>
      <c r="CI588" s="1200"/>
      <c r="CJ588" s="1200" t="s">
        <v>347</v>
      </c>
      <c r="CK588" s="1200"/>
      <c r="CL588" s="1200"/>
      <c r="CM588" s="1200"/>
      <c r="CN588" s="1200"/>
      <c r="CO588" s="1200" t="s">
        <v>170</v>
      </c>
      <c r="CP588" s="1200"/>
      <c r="CQ588" s="1200"/>
      <c r="CR588" s="1200"/>
      <c r="CS588" s="1200"/>
      <c r="CT588" s="1200" t="s">
        <v>171</v>
      </c>
      <c r="CU588" s="1200"/>
      <c r="CV588" s="1200"/>
      <c r="CW588" s="1200"/>
      <c r="CX588" s="1200"/>
      <c r="CY588" s="1200" t="s">
        <v>506</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347</v>
      </c>
      <c r="AN589" s="58"/>
      <c r="AO589" s="58"/>
      <c r="AP589" s="58"/>
      <c r="AQ589" s="58"/>
      <c r="AR589" s="1518">
        <f t="shared" ref="AR589:AR613" si="0">IF(AND(AD709&lt;=0.5,AD709&gt;=0.36),1,0)</f>
        <v>0</v>
      </c>
      <c r="AS589" s="1519"/>
      <c r="AT589" s="1131">
        <f t="shared" ref="AT589:AT613" si="1">IF(AR589=1,G709,0)</f>
        <v>0</v>
      </c>
      <c r="AU589" s="1133"/>
      <c r="AV589" s="1518">
        <f t="shared" ref="AV589:AV613" si="2">IF(AND(AD709&lt;=0.35,AD709&gt;0),1,0)</f>
        <v>0</v>
      </c>
      <c r="AW589" s="1519"/>
      <c r="AX589" s="1131">
        <f t="shared" ref="AX589:AX613" si="3">IF(AV589=1,G709,0)</f>
        <v>0</v>
      </c>
      <c r="AY589" s="1133"/>
      <c r="AZ589" s="58"/>
      <c r="BA589" s="1131">
        <f t="shared" ref="BA589:BA613" si="4">IF(B709="SRO/Studio",G709,0)</f>
        <v>0</v>
      </c>
      <c r="BB589" s="1132"/>
      <c r="BC589" s="1132"/>
      <c r="BD589" s="1132"/>
      <c r="BE589" s="1133"/>
      <c r="BF589" s="1197">
        <f t="shared" ref="BF589:BF613" si="5">IF(B709="1 Bedroom",G709,0)</f>
        <v>40</v>
      </c>
      <c r="BG589" s="1197"/>
      <c r="BH589" s="1197"/>
      <c r="BI589" s="1197"/>
      <c r="BJ589" s="1197"/>
      <c r="BK589" s="1197">
        <f t="shared" ref="BK589:BK613" si="6">IF(B709="2 Bedrooms",G709,0)</f>
        <v>0</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500" t="s">
        <v>591</v>
      </c>
      <c r="O590" s="1096"/>
      <c r="P590" s="12"/>
      <c r="Q590" s="12"/>
      <c r="R590" s="12"/>
      <c r="S590" s="12"/>
      <c r="T590" s="35"/>
      <c r="U590" s="12" t="s">
        <v>22</v>
      </c>
      <c r="V590" s="12"/>
      <c r="W590" s="12"/>
      <c r="X590" s="12"/>
      <c r="Y590" s="12"/>
      <c r="Z590" s="12"/>
      <c r="AA590" s="12"/>
      <c r="AB590" s="12"/>
      <c r="AC590" s="12"/>
      <c r="AD590" s="12"/>
      <c r="AE590" s="12"/>
      <c r="AF590" s="12"/>
      <c r="AG590" s="1096" t="s">
        <v>722</v>
      </c>
      <c r="AH590" s="1096"/>
      <c r="AI590" s="12"/>
      <c r="AJ590" s="12"/>
      <c r="AK590" s="12"/>
      <c r="AL590" s="12"/>
      <c r="AM590" s="7" t="s">
        <v>170</v>
      </c>
      <c r="AN590" s="58"/>
      <c r="AO590" s="58"/>
      <c r="AP590" s="58"/>
      <c r="AQ590" s="58"/>
      <c r="AR590" s="1518">
        <f t="shared" si="0"/>
        <v>1</v>
      </c>
      <c r="AS590" s="1519"/>
      <c r="AT590" s="1131">
        <f t="shared" si="1"/>
        <v>17</v>
      </c>
      <c r="AU590" s="1133"/>
      <c r="AV590" s="1518">
        <f t="shared" si="2"/>
        <v>0</v>
      </c>
      <c r="AW590" s="1519"/>
      <c r="AX590" s="1131">
        <f t="shared" si="3"/>
        <v>0</v>
      </c>
      <c r="AY590" s="1133"/>
      <c r="AZ590" s="58"/>
      <c r="BA590" s="1131">
        <f t="shared" si="4"/>
        <v>0</v>
      </c>
      <c r="BB590" s="1132"/>
      <c r="BC590" s="1132"/>
      <c r="BD590" s="1132"/>
      <c r="BE590" s="1133"/>
      <c r="BF590" s="1197">
        <f t="shared" si="5"/>
        <v>17</v>
      </c>
      <c r="BG590" s="1197"/>
      <c r="BH590" s="1197"/>
      <c r="BI590" s="1197"/>
      <c r="BJ590" s="1197"/>
      <c r="BK590" s="1197">
        <f t="shared" si="6"/>
        <v>0</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18">
        <f t="shared" si="0"/>
        <v>0</v>
      </c>
      <c r="AS591" s="1519"/>
      <c r="AT591" s="1131">
        <f t="shared" si="1"/>
        <v>0</v>
      </c>
      <c r="AU591" s="1133"/>
      <c r="AV591" s="1518">
        <f t="shared" si="2"/>
        <v>0</v>
      </c>
      <c r="AW591" s="1519"/>
      <c r="AX591" s="1131">
        <f t="shared" si="3"/>
        <v>0</v>
      </c>
      <c r="AY591" s="1133"/>
      <c r="AZ591" s="58"/>
      <c r="BA591" s="1131">
        <f t="shared" si="4"/>
        <v>0</v>
      </c>
      <c r="BB591" s="1132"/>
      <c r="BC591" s="1132"/>
      <c r="BD591" s="1132"/>
      <c r="BE591" s="1133"/>
      <c r="BF591" s="1197">
        <f t="shared" si="5"/>
        <v>0</v>
      </c>
      <c r="BG591" s="1197"/>
      <c r="BH591" s="1197"/>
      <c r="BI591" s="1197"/>
      <c r="BJ591" s="1197"/>
      <c r="BK591" s="1197">
        <f t="shared" si="6"/>
        <v>0</v>
      </c>
      <c r="BL591" s="1197"/>
      <c r="BM591" s="1197"/>
      <c r="BN591" s="1197"/>
      <c r="BO591" s="1197"/>
      <c r="BP591" s="1197">
        <f t="shared" si="7"/>
        <v>0</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507</v>
      </c>
      <c r="B592" s="12" t="s">
        <v>509</v>
      </c>
      <c r="G592" s="1097">
        <f>C553</f>
        <v>0</v>
      </c>
      <c r="H592" s="1097"/>
      <c r="I592" s="1097"/>
      <c r="J592" s="1097"/>
      <c r="K592" s="1097"/>
      <c r="L592" s="1097"/>
      <c r="M592" s="1097"/>
      <c r="N592" s="1097"/>
      <c r="O592" s="1097"/>
      <c r="P592" s="1097"/>
      <c r="Q592" s="1097"/>
      <c r="R592" s="1097"/>
      <c r="T592" s="87" t="s">
        <v>696</v>
      </c>
      <c r="U592" s="12" t="s">
        <v>509</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8">
        <f t="shared" si="0"/>
        <v>0</v>
      </c>
      <c r="AS592" s="1519"/>
      <c r="AT592" s="1131">
        <f t="shared" si="1"/>
        <v>0</v>
      </c>
      <c r="AU592" s="1133"/>
      <c r="AV592" s="1518">
        <f t="shared" si="2"/>
        <v>0</v>
      </c>
      <c r="AW592" s="1519"/>
      <c r="AX592" s="1131">
        <f t="shared" si="3"/>
        <v>0</v>
      </c>
      <c r="AY592" s="1133"/>
      <c r="AZ592" s="58"/>
      <c r="BA592" s="1131">
        <f t="shared" si="4"/>
        <v>0</v>
      </c>
      <c r="BB592" s="1132"/>
      <c r="BC592" s="1132"/>
      <c r="BD592" s="1132"/>
      <c r="BE592" s="1133"/>
      <c r="BF592" s="1197">
        <f t="shared" si="5"/>
        <v>0</v>
      </c>
      <c r="BG592" s="1197"/>
      <c r="BH592" s="1197"/>
      <c r="BI592" s="1197"/>
      <c r="BJ592" s="1197"/>
      <c r="BK592" s="1197">
        <f t="shared" si="6"/>
        <v>0</v>
      </c>
      <c r="BL592" s="1197"/>
      <c r="BM592" s="1197"/>
      <c r="BN592" s="1197"/>
      <c r="BO592" s="1197"/>
      <c r="BP592" s="1197">
        <f t="shared" si="7"/>
        <v>0</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8">
        <f t="shared" si="0"/>
        <v>0</v>
      </c>
      <c r="AS593" s="1519"/>
      <c r="AT593" s="1131">
        <f t="shared" si="1"/>
        <v>0</v>
      </c>
      <c r="AU593" s="1133"/>
      <c r="AV593" s="1518">
        <f t="shared" si="2"/>
        <v>0</v>
      </c>
      <c r="AW593" s="1519"/>
      <c r="AX593" s="1131">
        <f t="shared" si="3"/>
        <v>0</v>
      </c>
      <c r="AY593" s="1133"/>
      <c r="AZ593" s="58"/>
      <c r="BA593" s="1131">
        <f t="shared" si="4"/>
        <v>0</v>
      </c>
      <c r="BB593" s="1132"/>
      <c r="BC593" s="1132"/>
      <c r="BD593" s="1132"/>
      <c r="BE593" s="1133"/>
      <c r="BF593" s="1197">
        <f t="shared" si="5"/>
        <v>0</v>
      </c>
      <c r="BG593" s="1197"/>
      <c r="BH593" s="1197"/>
      <c r="BI593" s="1197"/>
      <c r="BJ593" s="1197"/>
      <c r="BK593" s="1197">
        <f t="shared" si="6"/>
        <v>0</v>
      </c>
      <c r="BL593" s="1197"/>
      <c r="BM593" s="1197"/>
      <c r="BN593" s="1197"/>
      <c r="BO593" s="1197"/>
      <c r="BP593" s="1197">
        <f t="shared" si="7"/>
        <v>0</v>
      </c>
      <c r="BQ593" s="1197"/>
      <c r="BR593" s="1197"/>
      <c r="BS593" s="1197"/>
      <c r="BT593" s="1197"/>
      <c r="BU593" s="1197">
        <f t="shared" si="8"/>
        <v>0</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630</v>
      </c>
      <c r="G594" s="1095"/>
      <c r="H594" s="1095"/>
      <c r="I594" s="1095"/>
      <c r="J594" s="1095"/>
      <c r="K594" s="1095"/>
      <c r="L594" s="1095"/>
      <c r="M594" s="1095"/>
      <c r="N594" s="1095"/>
      <c r="O594" s="1095"/>
      <c r="P594" s="1095"/>
      <c r="Q594" s="1095"/>
      <c r="R594" s="1095"/>
      <c r="T594" s="35"/>
      <c r="U594" s="12" t="s">
        <v>630</v>
      </c>
      <c r="Z594" s="1117"/>
      <c r="AA594" s="1117"/>
      <c r="AB594" s="1117"/>
      <c r="AC594" s="1117"/>
      <c r="AD594" s="1117"/>
      <c r="AE594" s="1117"/>
      <c r="AF594" s="1117"/>
      <c r="AG594" s="1117"/>
      <c r="AH594" s="1117"/>
      <c r="AI594" s="1117"/>
      <c r="AJ594" s="1117"/>
      <c r="AK594" s="1117"/>
      <c r="AM594" s="58"/>
      <c r="AN594" s="58"/>
      <c r="AO594" s="58"/>
      <c r="AP594" s="58"/>
      <c r="AQ594" s="58"/>
      <c r="AR594" s="1518">
        <f t="shared" si="0"/>
        <v>0</v>
      </c>
      <c r="AS594" s="1519"/>
      <c r="AT594" s="1131">
        <f t="shared" si="1"/>
        <v>0</v>
      </c>
      <c r="AU594" s="1133"/>
      <c r="AV594" s="1518">
        <f t="shared" si="2"/>
        <v>0</v>
      </c>
      <c r="AW594" s="1519"/>
      <c r="AX594" s="1131">
        <f t="shared" si="3"/>
        <v>0</v>
      </c>
      <c r="AY594" s="1133"/>
      <c r="AZ594" s="58"/>
      <c r="BA594" s="1131">
        <f t="shared" si="4"/>
        <v>0</v>
      </c>
      <c r="BB594" s="1132"/>
      <c r="BC594" s="1132"/>
      <c r="BD594" s="1132"/>
      <c r="BE594" s="1133"/>
      <c r="BF594" s="1197">
        <f t="shared" si="5"/>
        <v>0</v>
      </c>
      <c r="BG594" s="1197"/>
      <c r="BH594" s="1197"/>
      <c r="BI594" s="1197"/>
      <c r="BJ594" s="1197"/>
      <c r="BK594" s="1197">
        <f t="shared" si="6"/>
        <v>0</v>
      </c>
      <c r="BL594" s="1197"/>
      <c r="BM594" s="1197"/>
      <c r="BN594" s="1197"/>
      <c r="BO594" s="1197"/>
      <c r="BP594" s="1197">
        <f t="shared" si="7"/>
        <v>0</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5"/>
      <c r="H595" s="1095"/>
      <c r="I595" s="1095"/>
      <c r="J595" s="1095"/>
      <c r="K595" s="1095"/>
      <c r="L595" s="1095"/>
      <c r="M595" s="1095"/>
      <c r="N595" s="1095"/>
      <c r="O595" s="1095"/>
      <c r="P595" s="1095"/>
      <c r="Q595" s="1095"/>
      <c r="R595" s="1095"/>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8">
        <f t="shared" si="0"/>
        <v>0</v>
      </c>
      <c r="AS595" s="1519"/>
      <c r="AT595" s="1131">
        <f t="shared" si="1"/>
        <v>0</v>
      </c>
      <c r="AU595" s="1133"/>
      <c r="AV595" s="1518">
        <f t="shared" si="2"/>
        <v>0</v>
      </c>
      <c r="AW595" s="1519"/>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0</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337</v>
      </c>
      <c r="G596" s="1099"/>
      <c r="H596" s="1099"/>
      <c r="I596" s="1099"/>
      <c r="J596" s="1099"/>
      <c r="K596" s="1099"/>
      <c r="L596" s="1099"/>
      <c r="O596" s="140" t="s">
        <v>219</v>
      </c>
      <c r="P596" s="1100"/>
      <c r="Q596" s="1100"/>
      <c r="R596" s="1100"/>
      <c r="T596" s="35"/>
      <c r="U596" s="12" t="s">
        <v>337</v>
      </c>
      <c r="Z596" s="1099"/>
      <c r="AA596" s="1099"/>
      <c r="AB596" s="1099"/>
      <c r="AC596" s="1099"/>
      <c r="AD596" s="1099"/>
      <c r="AE596" s="1099"/>
      <c r="AH596" s="140" t="s">
        <v>219</v>
      </c>
      <c r="AI596" s="1100"/>
      <c r="AJ596" s="1100"/>
      <c r="AK596" s="1100"/>
      <c r="AM596" s="58"/>
      <c r="AN596" s="58"/>
      <c r="AO596" s="58"/>
      <c r="AP596" s="58"/>
      <c r="AQ596" s="58"/>
      <c r="AR596" s="1518">
        <f t="shared" si="0"/>
        <v>0</v>
      </c>
      <c r="AS596" s="1519"/>
      <c r="AT596" s="1131">
        <f t="shared" si="1"/>
        <v>0</v>
      </c>
      <c r="AU596" s="1133"/>
      <c r="AV596" s="1518">
        <f t="shared" si="2"/>
        <v>0</v>
      </c>
      <c r="AW596" s="1519"/>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0</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8">
        <f t="shared" si="0"/>
        <v>0</v>
      </c>
      <c r="AS597" s="1519"/>
      <c r="AT597" s="1131">
        <f t="shared" si="1"/>
        <v>0</v>
      </c>
      <c r="AU597" s="1133"/>
      <c r="AV597" s="1518">
        <f t="shared" si="2"/>
        <v>0</v>
      </c>
      <c r="AW597" s="1519"/>
      <c r="AX597" s="1131">
        <f t="shared" si="3"/>
        <v>0</v>
      </c>
      <c r="AY597" s="1133"/>
      <c r="AZ597" s="58"/>
      <c r="BA597" s="1131">
        <f t="shared" si="4"/>
        <v>0</v>
      </c>
      <c r="BB597" s="1132"/>
      <c r="BC597" s="1132"/>
      <c r="BD597" s="1132"/>
      <c r="BE597" s="1133"/>
      <c r="BF597" s="1197">
        <f t="shared" si="5"/>
        <v>0</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6" t="s">
        <v>722</v>
      </c>
      <c r="O598" s="1096"/>
      <c r="P598" s="12"/>
      <c r="Q598" s="12"/>
      <c r="R598" s="12"/>
      <c r="S598" s="12"/>
      <c r="T598" s="35"/>
      <c r="U598" s="12" t="s">
        <v>22</v>
      </c>
      <c r="V598" s="12"/>
      <c r="W598" s="12"/>
      <c r="X598" s="12"/>
      <c r="Y598" s="12"/>
      <c r="Z598" s="12"/>
      <c r="AA598" s="12"/>
      <c r="AB598" s="12"/>
      <c r="AC598" s="12"/>
      <c r="AD598" s="12"/>
      <c r="AE598" s="12"/>
      <c r="AF598" s="12"/>
      <c r="AG598" s="1096" t="s">
        <v>722</v>
      </c>
      <c r="AH598" s="1096"/>
      <c r="AI598" s="12"/>
      <c r="AJ598" s="12"/>
      <c r="AK598" s="12"/>
      <c r="AL598" s="12"/>
      <c r="AM598" s="58"/>
      <c r="AN598" s="58"/>
      <c r="AO598" s="58"/>
      <c r="AP598" s="58"/>
      <c r="AQ598" s="58"/>
      <c r="AR598" s="1518">
        <f t="shared" si="0"/>
        <v>0</v>
      </c>
      <c r="AS598" s="1519"/>
      <c r="AT598" s="1131">
        <f t="shared" si="1"/>
        <v>0</v>
      </c>
      <c r="AU598" s="1133"/>
      <c r="AV598" s="1518">
        <f t="shared" si="2"/>
        <v>0</v>
      </c>
      <c r="AW598" s="1519"/>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0</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8">
        <f t="shared" si="0"/>
        <v>0</v>
      </c>
      <c r="AS599" s="1519"/>
      <c r="AT599" s="1131">
        <f t="shared" si="1"/>
        <v>0</v>
      </c>
      <c r="AU599" s="1133"/>
      <c r="AV599" s="1518">
        <f t="shared" si="2"/>
        <v>0</v>
      </c>
      <c r="AW599" s="1519"/>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385</v>
      </c>
      <c r="B600" s="12" t="s">
        <v>509</v>
      </c>
      <c r="G600" s="1097">
        <f>C555</f>
        <v>0</v>
      </c>
      <c r="H600" s="1097"/>
      <c r="I600" s="1097"/>
      <c r="J600" s="1097"/>
      <c r="K600" s="1097"/>
      <c r="L600" s="1097"/>
      <c r="M600" s="1097"/>
      <c r="N600" s="1097"/>
      <c r="O600" s="1097"/>
      <c r="P600" s="1097"/>
      <c r="Q600" s="1097"/>
      <c r="R600" s="1097"/>
      <c r="T600" s="87" t="s">
        <v>386</v>
      </c>
      <c r="U600" s="12" t="s">
        <v>509</v>
      </c>
      <c r="Z600" s="1097">
        <f>C556</f>
        <v>0</v>
      </c>
      <c r="AA600" s="1097"/>
      <c r="AB600" s="1097"/>
      <c r="AC600" s="1097"/>
      <c r="AD600" s="1097"/>
      <c r="AE600" s="1097"/>
      <c r="AF600" s="1097"/>
      <c r="AG600" s="1097"/>
      <c r="AH600" s="1097"/>
      <c r="AI600" s="1097"/>
      <c r="AJ600" s="1097"/>
      <c r="AK600" s="1097"/>
      <c r="AM600" s="58"/>
      <c r="AN600" s="58"/>
      <c r="AO600" s="58"/>
      <c r="AP600" s="58"/>
      <c r="AQ600" s="58"/>
      <c r="AR600" s="1518">
        <f t="shared" si="0"/>
        <v>0</v>
      </c>
      <c r="AS600" s="1519"/>
      <c r="AT600" s="1131">
        <f t="shared" si="1"/>
        <v>0</v>
      </c>
      <c r="AU600" s="1133"/>
      <c r="AV600" s="1518">
        <f t="shared" si="2"/>
        <v>0</v>
      </c>
      <c r="AW600" s="1519"/>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8">
        <f t="shared" si="0"/>
        <v>0</v>
      </c>
      <c r="AS601" s="1519"/>
      <c r="AT601" s="1131">
        <f t="shared" si="1"/>
        <v>0</v>
      </c>
      <c r="AU601" s="1133"/>
      <c r="AV601" s="1518">
        <f t="shared" si="2"/>
        <v>0</v>
      </c>
      <c r="AW601" s="1519"/>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630</v>
      </c>
      <c r="G602" s="1095"/>
      <c r="H602" s="1095"/>
      <c r="I602" s="1095"/>
      <c r="J602" s="1095"/>
      <c r="K602" s="1095"/>
      <c r="L602" s="1095"/>
      <c r="M602" s="1095"/>
      <c r="N602" s="1095"/>
      <c r="O602" s="1095"/>
      <c r="P602" s="1095"/>
      <c r="Q602" s="1095"/>
      <c r="R602" s="1095"/>
      <c r="U602" s="12" t="s">
        <v>630</v>
      </c>
      <c r="Z602" s="1117"/>
      <c r="AA602" s="1117"/>
      <c r="AB602" s="1117"/>
      <c r="AC602" s="1117"/>
      <c r="AD602" s="1117"/>
      <c r="AE602" s="1117"/>
      <c r="AF602" s="1117"/>
      <c r="AG602" s="1117"/>
      <c r="AH602" s="1117"/>
      <c r="AI602" s="1117"/>
      <c r="AJ602" s="1117"/>
      <c r="AK602" s="1117"/>
      <c r="AM602" s="58"/>
      <c r="AN602" s="58"/>
      <c r="AO602" s="58"/>
      <c r="AP602" s="58"/>
      <c r="AQ602" s="58"/>
      <c r="AR602" s="1518">
        <f t="shared" si="0"/>
        <v>0</v>
      </c>
      <c r="AS602" s="1519"/>
      <c r="AT602" s="1131">
        <f t="shared" si="1"/>
        <v>0</v>
      </c>
      <c r="AU602" s="1133"/>
      <c r="AV602" s="1518">
        <f t="shared" si="2"/>
        <v>0</v>
      </c>
      <c r="AW602" s="1519"/>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8">
        <f t="shared" si="0"/>
        <v>0</v>
      </c>
      <c r="AS603" s="1519"/>
      <c r="AT603" s="1131">
        <f t="shared" si="1"/>
        <v>0</v>
      </c>
      <c r="AU603" s="1133"/>
      <c r="AV603" s="1518">
        <f t="shared" si="2"/>
        <v>0</v>
      </c>
      <c r="AW603" s="1519"/>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337</v>
      </c>
      <c r="G604" s="1099"/>
      <c r="H604" s="1099"/>
      <c r="I604" s="1099"/>
      <c r="J604" s="1099"/>
      <c r="K604" s="1099"/>
      <c r="L604" s="1099"/>
      <c r="O604" s="140" t="s">
        <v>219</v>
      </c>
      <c r="P604" s="1100"/>
      <c r="Q604" s="1100"/>
      <c r="R604" s="1100"/>
      <c r="U604" s="12" t="s">
        <v>337</v>
      </c>
      <c r="Z604" s="1099"/>
      <c r="AA604" s="1099"/>
      <c r="AB604" s="1099"/>
      <c r="AC604" s="1099"/>
      <c r="AD604" s="1099"/>
      <c r="AE604" s="1099"/>
      <c r="AH604" s="140" t="s">
        <v>219</v>
      </c>
      <c r="AI604" s="1100"/>
      <c r="AJ604" s="1100"/>
      <c r="AK604" s="1100"/>
      <c r="AM604" s="58"/>
      <c r="AN604" s="58"/>
      <c r="AO604" s="58"/>
      <c r="AP604" s="58"/>
      <c r="AQ604" s="58"/>
      <c r="AR604" s="1518">
        <f t="shared" si="0"/>
        <v>0</v>
      </c>
      <c r="AS604" s="1519"/>
      <c r="AT604" s="1131">
        <f t="shared" si="1"/>
        <v>0</v>
      </c>
      <c r="AU604" s="1133"/>
      <c r="AV604" s="1518">
        <f t="shared" si="2"/>
        <v>0</v>
      </c>
      <c r="AW604" s="1519"/>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8">
        <f t="shared" si="0"/>
        <v>0</v>
      </c>
      <c r="AS605" s="1519"/>
      <c r="AT605" s="1131">
        <f t="shared" si="1"/>
        <v>0</v>
      </c>
      <c r="AU605" s="1133"/>
      <c r="AV605" s="1518">
        <f t="shared" si="2"/>
        <v>0</v>
      </c>
      <c r="AW605" s="1519"/>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6" t="s">
        <v>722</v>
      </c>
      <c r="O606" s="1096"/>
      <c r="U606" s="12" t="s">
        <v>22</v>
      </c>
      <c r="AG606" s="1096" t="s">
        <v>722</v>
      </c>
      <c r="AH606" s="1096"/>
      <c r="AM606" s="58"/>
      <c r="AN606" s="58"/>
      <c r="AO606" s="58"/>
      <c r="AP606" s="58"/>
      <c r="AQ606" s="58"/>
      <c r="AR606" s="1518">
        <f t="shared" si="0"/>
        <v>0</v>
      </c>
      <c r="AS606" s="1519"/>
      <c r="AT606" s="1131">
        <f t="shared" si="1"/>
        <v>0</v>
      </c>
      <c r="AU606" s="1133"/>
      <c r="AV606" s="1518">
        <f t="shared" si="2"/>
        <v>0</v>
      </c>
      <c r="AW606" s="1519"/>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18">
        <f t="shared" si="0"/>
        <v>0</v>
      </c>
      <c r="AS607" s="1519"/>
      <c r="AT607" s="1131">
        <f t="shared" si="1"/>
        <v>0</v>
      </c>
      <c r="AU607" s="1133"/>
      <c r="AV607" s="1518">
        <f t="shared" si="2"/>
        <v>0</v>
      </c>
      <c r="AW607" s="1519"/>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8">
        <f t="shared" si="0"/>
        <v>0</v>
      </c>
      <c r="AS608" s="1519"/>
      <c r="AT608" s="1131">
        <f t="shared" si="1"/>
        <v>0</v>
      </c>
      <c r="AU608" s="1133"/>
      <c r="AV608" s="1518">
        <f t="shared" si="2"/>
        <v>0</v>
      </c>
      <c r="AW608" s="1519"/>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8">
        <f t="shared" si="0"/>
        <v>0</v>
      </c>
      <c r="AS609" s="1519"/>
      <c r="AT609" s="1131">
        <f t="shared" si="1"/>
        <v>0</v>
      </c>
      <c r="AU609" s="1133"/>
      <c r="AV609" s="1518">
        <f t="shared" si="2"/>
        <v>0</v>
      </c>
      <c r="AW609" s="1519"/>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5" thickTop="1">
      <c r="A610" s="25"/>
      <c r="B610" s="25"/>
      <c r="C610" s="25"/>
      <c r="D610" s="25"/>
      <c r="E610" s="25"/>
      <c r="F610" s="25"/>
      <c r="G610" s="3"/>
      <c r="H610" s="25"/>
      <c r="AM610" s="58"/>
      <c r="AN610" s="58"/>
      <c r="AO610" s="58"/>
      <c r="AP610" s="58"/>
      <c r="AQ610" s="58"/>
      <c r="AR610" s="1518">
        <f t="shared" si="0"/>
        <v>0</v>
      </c>
      <c r="AS610" s="1519"/>
      <c r="AT610" s="1131">
        <f t="shared" si="1"/>
        <v>0</v>
      </c>
      <c r="AU610" s="1133"/>
      <c r="AV610" s="1518">
        <f t="shared" si="2"/>
        <v>0</v>
      </c>
      <c r="AW610" s="1519"/>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2.75">
      <c r="A611" s="50" t="s">
        <v>340</v>
      </c>
      <c r="B611" s="50"/>
      <c r="C611" s="50" t="s">
        <v>23</v>
      </c>
      <c r="AM611" s="58"/>
      <c r="AN611" s="58"/>
      <c r="AO611" s="58"/>
      <c r="AP611" s="58"/>
      <c r="AQ611" s="58"/>
      <c r="AR611" s="1518">
        <f t="shared" si="0"/>
        <v>0</v>
      </c>
      <c r="AS611" s="1519"/>
      <c r="AT611" s="1131">
        <f t="shared" si="1"/>
        <v>0</v>
      </c>
      <c r="AU611" s="1133"/>
      <c r="AV611" s="1518">
        <f t="shared" si="2"/>
        <v>0</v>
      </c>
      <c r="AW611" s="1519"/>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2.75">
      <c r="A612" s="50"/>
      <c r="B612" s="50"/>
      <c r="C612" s="50"/>
      <c r="AM612" s="58"/>
      <c r="AN612" s="58"/>
      <c r="AO612" s="58"/>
      <c r="AP612" s="58"/>
      <c r="AQ612" s="58"/>
      <c r="AR612" s="1518">
        <f t="shared" si="0"/>
        <v>0</v>
      </c>
      <c r="AS612" s="1519"/>
      <c r="AT612" s="1131">
        <f t="shared" si="1"/>
        <v>0</v>
      </c>
      <c r="AU612" s="1133"/>
      <c r="AV612" s="1518">
        <f t="shared" si="2"/>
        <v>0</v>
      </c>
      <c r="AW612" s="1519"/>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8">
        <f t="shared" si="0"/>
        <v>0</v>
      </c>
      <c r="AS613" s="1519"/>
      <c r="AT613" s="1131">
        <f t="shared" si="1"/>
        <v>0</v>
      </c>
      <c r="AU613" s="1133"/>
      <c r="AV613" s="1518">
        <f t="shared" si="2"/>
        <v>0</v>
      </c>
      <c r="AW613" s="1519"/>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8">
        <f>SUM(AT589:AU613)</f>
        <v>17</v>
      </c>
      <c r="AU614" s="1519"/>
      <c r="AV614" s="58"/>
      <c r="AW614" s="58"/>
      <c r="AX614" s="1518">
        <f>SUM(AX589:AY613)</f>
        <v>0</v>
      </c>
      <c r="AY614" s="1519"/>
      <c r="AZ614" s="58"/>
      <c r="BA614" s="1518">
        <f>SUM(BA589:BE613)</f>
        <v>0</v>
      </c>
      <c r="BB614" s="1527"/>
      <c r="BC614" s="1527"/>
      <c r="BD614" s="1527"/>
      <c r="BE614" s="1519"/>
      <c r="BF614" s="1210">
        <f>SUM(BF589:BJ613)</f>
        <v>57</v>
      </c>
      <c r="BG614" s="1210"/>
      <c r="BH614" s="1210"/>
      <c r="BI614" s="1210"/>
      <c r="BJ614" s="1210"/>
      <c r="BK614" s="1210">
        <f>SUM(BK589:BO613)</f>
        <v>0</v>
      </c>
      <c r="BL614" s="1210"/>
      <c r="BM614" s="1210"/>
      <c r="BN614" s="1210"/>
      <c r="BO614" s="1210"/>
      <c r="BP614" s="1210">
        <f>SUM(BP589:BT613)</f>
        <v>0</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9" t="s">
        <v>497</v>
      </c>
      <c r="C615" s="1430"/>
      <c r="D615" s="1430"/>
      <c r="E615" s="1430"/>
      <c r="F615" s="1430"/>
      <c r="G615" s="1430"/>
      <c r="H615" s="1430"/>
      <c r="I615" s="1430"/>
      <c r="J615" s="1430"/>
      <c r="K615" s="1430"/>
      <c r="L615" s="1430"/>
      <c r="M615" s="1430"/>
      <c r="N615" s="1430"/>
      <c r="O615" s="1431"/>
      <c r="P615" s="1438" t="s">
        <v>345</v>
      </c>
      <c r="Q615" s="1439"/>
      <c r="R615" s="1440"/>
      <c r="S615" s="1533" t="s">
        <v>498</v>
      </c>
      <c r="T615" s="1534"/>
      <c r="U615" s="1535"/>
      <c r="V615" s="1428" t="s">
        <v>18</v>
      </c>
      <c r="W615" s="1428"/>
      <c r="X615" s="1428"/>
      <c r="Y615" s="1428"/>
      <c r="Z615" s="1428"/>
      <c r="AA615" s="1428"/>
      <c r="AB615" s="1428" t="s">
        <v>17</v>
      </c>
      <c r="AC615" s="1428"/>
      <c r="AD615" s="1428"/>
      <c r="AE615" s="1428"/>
      <c r="AF615" s="1428"/>
      <c r="AG615" s="1428" t="s">
        <v>499</v>
      </c>
      <c r="AH615" s="1428"/>
      <c r="AI615" s="1428"/>
      <c r="AJ615" s="1428"/>
      <c r="AK615" s="142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2"/>
      <c r="C616" s="1433"/>
      <c r="D616" s="1433"/>
      <c r="E616" s="1433"/>
      <c r="F616" s="1433"/>
      <c r="G616" s="1433"/>
      <c r="H616" s="1433"/>
      <c r="I616" s="1433"/>
      <c r="J616" s="1433"/>
      <c r="K616" s="1433"/>
      <c r="L616" s="1433"/>
      <c r="M616" s="1433"/>
      <c r="N616" s="1433"/>
      <c r="O616" s="1434"/>
      <c r="P616" s="1441"/>
      <c r="Q616" s="1442"/>
      <c r="R616" s="1443"/>
      <c r="S616" s="1536"/>
      <c r="T616" s="1537"/>
      <c r="U616" s="1538"/>
      <c r="V616" s="1428"/>
      <c r="W616" s="1428"/>
      <c r="X616" s="1428"/>
      <c r="Y616" s="1428"/>
      <c r="Z616" s="1428"/>
      <c r="AA616" s="1428"/>
      <c r="AB616" s="1428"/>
      <c r="AC616" s="1428"/>
      <c r="AD616" s="1428"/>
      <c r="AE616" s="1428"/>
      <c r="AF616" s="1428"/>
      <c r="AG616" s="1428"/>
      <c r="AH616" s="1428"/>
      <c r="AI616" s="1428"/>
      <c r="AJ616" s="1428"/>
      <c r="AK616" s="142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5"/>
      <c r="C617" s="1436"/>
      <c r="D617" s="1436"/>
      <c r="E617" s="1436"/>
      <c r="F617" s="1436"/>
      <c r="G617" s="1436"/>
      <c r="H617" s="1436"/>
      <c r="I617" s="1436"/>
      <c r="J617" s="1436"/>
      <c r="K617" s="1436"/>
      <c r="L617" s="1436"/>
      <c r="M617" s="1436"/>
      <c r="N617" s="1436"/>
      <c r="O617" s="1437"/>
      <c r="P617" s="1444"/>
      <c r="Q617" s="1445"/>
      <c r="R617" s="1446"/>
      <c r="S617" s="1539"/>
      <c r="T617" s="1540"/>
      <c r="U617" s="1541"/>
      <c r="V617" s="1428"/>
      <c r="W617" s="1428"/>
      <c r="X617" s="1428"/>
      <c r="Y617" s="1428"/>
      <c r="Z617" s="1428"/>
      <c r="AA617" s="1428"/>
      <c r="AB617" s="1428"/>
      <c r="AC617" s="1428"/>
      <c r="AD617" s="1428"/>
      <c r="AE617" s="1428"/>
      <c r="AF617" s="1428"/>
      <c r="AG617" s="1428"/>
      <c r="AH617" s="1428"/>
      <c r="AI617" s="1428"/>
      <c r="AJ617" s="1428"/>
      <c r="AK617" s="1428"/>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1</v>
      </c>
      <c r="BG617" s="1197"/>
      <c r="BH617" s="1197"/>
      <c r="BI617" s="1197"/>
      <c r="BJ617" s="1197"/>
      <c r="BK617" s="1197">
        <f>IF(J754="2 Bedrooms",O754,0)</f>
        <v>0</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120" t="s">
        <v>1760</v>
      </c>
      <c r="D618" s="1426"/>
      <c r="E618" s="1426"/>
      <c r="F618" s="1426"/>
      <c r="G618" s="1426"/>
      <c r="H618" s="1426"/>
      <c r="I618" s="1426"/>
      <c r="J618" s="1426"/>
      <c r="K618" s="1426"/>
      <c r="L618" s="1426"/>
      <c r="M618" s="1426"/>
      <c r="N618" s="1426"/>
      <c r="O618" s="1427"/>
      <c r="P618" s="1221">
        <v>180</v>
      </c>
      <c r="Q618" s="1222"/>
      <c r="R618" s="1223"/>
      <c r="S618" s="1218">
        <v>4.4499999999999998E-2</v>
      </c>
      <c r="T618" s="1219"/>
      <c r="U618" s="1220"/>
      <c r="V618" s="1221"/>
      <c r="W618" s="1222"/>
      <c r="X618" s="1222"/>
      <c r="Y618" s="1222"/>
      <c r="Z618" s="1222"/>
      <c r="AA618" s="1223"/>
      <c r="AB618" s="1225">
        <v>315953</v>
      </c>
      <c r="AC618" s="1225"/>
      <c r="AD618" s="1225"/>
      <c r="AE618" s="1225"/>
      <c r="AF618" s="1225"/>
      <c r="AG618" s="1225">
        <v>5637000</v>
      </c>
      <c r="AH618" s="1225"/>
      <c r="AI618" s="1225"/>
      <c r="AJ618" s="1225"/>
      <c r="AK618" s="1225"/>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120" t="s">
        <v>1739</v>
      </c>
      <c r="D619" s="1100"/>
      <c r="E619" s="1100"/>
      <c r="F619" s="1100"/>
      <c r="G619" s="1100"/>
      <c r="H619" s="1100"/>
      <c r="I619" s="1100"/>
      <c r="J619" s="1100"/>
      <c r="K619" s="1100"/>
      <c r="L619" s="1100"/>
      <c r="M619" s="1100"/>
      <c r="N619" s="1100"/>
      <c r="O619" s="1224"/>
      <c r="P619" s="1221">
        <v>660</v>
      </c>
      <c r="Q619" s="1222"/>
      <c r="R619" s="1223"/>
      <c r="S619" s="1218">
        <v>0.04</v>
      </c>
      <c r="T619" s="1219"/>
      <c r="U619" s="1220"/>
      <c r="V619" s="1221" t="s">
        <v>503</v>
      </c>
      <c r="W619" s="1222"/>
      <c r="X619" s="1222"/>
      <c r="Y619" s="1222"/>
      <c r="Z619" s="1222"/>
      <c r="AA619" s="1223"/>
      <c r="AB619" s="1225"/>
      <c r="AC619" s="1225"/>
      <c r="AD619" s="1225"/>
      <c r="AE619" s="1225"/>
      <c r="AF619" s="1225"/>
      <c r="AG619" s="1225">
        <v>6344004</v>
      </c>
      <c r="AH619" s="1225"/>
      <c r="AI619" s="1225"/>
      <c r="AJ619" s="1225"/>
      <c r="AK619" s="1225"/>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120" t="s">
        <v>1761</v>
      </c>
      <c r="D620" s="1100"/>
      <c r="E620" s="1100"/>
      <c r="F620" s="1100"/>
      <c r="G620" s="1100"/>
      <c r="H620" s="1100"/>
      <c r="I620" s="1100"/>
      <c r="J620" s="1100"/>
      <c r="K620" s="1100"/>
      <c r="L620" s="1100"/>
      <c r="M620" s="1100"/>
      <c r="N620" s="1100"/>
      <c r="O620" s="1224"/>
      <c r="P620" s="1221">
        <v>660</v>
      </c>
      <c r="Q620" s="1222"/>
      <c r="R620" s="1223"/>
      <c r="S620" s="1218">
        <v>0.04</v>
      </c>
      <c r="T620" s="1219"/>
      <c r="U620" s="1220"/>
      <c r="V620" s="1542"/>
      <c r="W620" s="1222"/>
      <c r="X620" s="1222"/>
      <c r="Y620" s="1222"/>
      <c r="Z620" s="1222"/>
      <c r="AA620" s="1223"/>
      <c r="AB620" s="1225"/>
      <c r="AC620" s="1225"/>
      <c r="AD620" s="1225"/>
      <c r="AE620" s="1225"/>
      <c r="AF620" s="1225"/>
      <c r="AG620" s="1225">
        <v>4535700</v>
      </c>
      <c r="AH620" s="1225"/>
      <c r="AI620" s="1225"/>
      <c r="AJ620" s="1225"/>
      <c r="AK620" s="1225"/>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631</v>
      </c>
      <c r="C621" s="1120" t="s">
        <v>1767</v>
      </c>
      <c r="D621" s="1100"/>
      <c r="E621" s="1100"/>
      <c r="F621" s="1100"/>
      <c r="G621" s="1100"/>
      <c r="H621" s="1100"/>
      <c r="I621" s="1100"/>
      <c r="J621" s="1100"/>
      <c r="K621" s="1100"/>
      <c r="L621" s="1100"/>
      <c r="M621" s="1100"/>
      <c r="N621" s="1100"/>
      <c r="O621" s="1224"/>
      <c r="P621" s="1221"/>
      <c r="Q621" s="1222"/>
      <c r="R621" s="1223"/>
      <c r="S621" s="1218"/>
      <c r="T621" s="1219"/>
      <c r="U621" s="1220"/>
      <c r="V621" s="1221"/>
      <c r="W621" s="1222"/>
      <c r="X621" s="1222"/>
      <c r="Y621" s="1222"/>
      <c r="Z621" s="1222"/>
      <c r="AA621" s="1223"/>
      <c r="AB621" s="1225"/>
      <c r="AC621" s="1225"/>
      <c r="AD621" s="1225"/>
      <c r="AE621" s="1225"/>
      <c r="AF621" s="1225"/>
      <c r="AG621" s="1225">
        <v>174125</v>
      </c>
      <c r="AH621" s="1225"/>
      <c r="AI621" s="1225"/>
      <c r="AJ621" s="1225"/>
      <c r="AK621" s="1225"/>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1</v>
      </c>
      <c r="BG621" s="1135"/>
      <c r="BH621" s="1135"/>
      <c r="BI621" s="1135"/>
      <c r="BJ621" s="1136"/>
      <c r="BK621" s="1134">
        <f>SUM(BK617:BO620)</f>
        <v>0</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841</v>
      </c>
      <c r="C622" s="1120" t="s">
        <v>1741</v>
      </c>
      <c r="D622" s="1100"/>
      <c r="E622" s="1100"/>
      <c r="F622" s="1100"/>
      <c r="G622" s="1100"/>
      <c r="H622" s="1100"/>
      <c r="I622" s="1100"/>
      <c r="J622" s="1100"/>
      <c r="K622" s="1100"/>
      <c r="L622" s="1100"/>
      <c r="M622" s="1100"/>
      <c r="N622" s="1100"/>
      <c r="O622" s="1224"/>
      <c r="P622" s="1221"/>
      <c r="Q622" s="1222"/>
      <c r="R622" s="1223"/>
      <c r="S622" s="1218"/>
      <c r="T622" s="1219"/>
      <c r="U622" s="1220"/>
      <c r="V622" s="1221"/>
      <c r="W622" s="1222"/>
      <c r="X622" s="1222"/>
      <c r="Y622" s="1222"/>
      <c r="Z622" s="1222"/>
      <c r="AA622" s="1223"/>
      <c r="AB622" s="1225"/>
      <c r="AC622" s="1225"/>
      <c r="AD622" s="1225"/>
      <c r="AE622" s="1225"/>
      <c r="AF622" s="1225"/>
      <c r="AG622" s="1225">
        <v>1410233</v>
      </c>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20" t="s">
        <v>1762</v>
      </c>
      <c r="D623" s="1100"/>
      <c r="E623" s="1100"/>
      <c r="F623" s="1100"/>
      <c r="G623" s="1100"/>
      <c r="H623" s="1100"/>
      <c r="I623" s="1100"/>
      <c r="J623" s="1100"/>
      <c r="K623" s="1100"/>
      <c r="L623" s="1100"/>
      <c r="M623" s="1100"/>
      <c r="N623" s="1100"/>
      <c r="O623" s="1224"/>
      <c r="P623" s="1221"/>
      <c r="Q623" s="1222"/>
      <c r="R623" s="1223"/>
      <c r="S623" s="1218"/>
      <c r="T623" s="1219"/>
      <c r="U623" s="1220"/>
      <c r="V623" s="1221"/>
      <c r="W623" s="1222"/>
      <c r="X623" s="1222"/>
      <c r="Y623" s="1222"/>
      <c r="Z623" s="1222"/>
      <c r="AA623" s="1223"/>
      <c r="AB623" s="1225"/>
      <c r="AC623" s="1225"/>
      <c r="AD623" s="1225"/>
      <c r="AE623" s="1225"/>
      <c r="AF623" s="1225"/>
      <c r="AG623" s="1225">
        <v>100</v>
      </c>
      <c r="AH623" s="1225"/>
      <c r="AI623" s="1225"/>
      <c r="AJ623" s="1225"/>
      <c r="AK623" s="1225"/>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500</v>
      </c>
      <c r="C624" s="1100"/>
      <c r="D624" s="1100"/>
      <c r="E624" s="1100"/>
      <c r="F624" s="1100"/>
      <c r="G624" s="1100"/>
      <c r="H624" s="1100"/>
      <c r="I624" s="1100"/>
      <c r="J624" s="1100"/>
      <c r="K624" s="1100"/>
      <c r="L624" s="1100"/>
      <c r="M624" s="1100"/>
      <c r="N624" s="1100"/>
      <c r="O624" s="1224"/>
      <c r="P624" s="1221"/>
      <c r="Q624" s="1222"/>
      <c r="R624" s="1223"/>
      <c r="S624" s="1218"/>
      <c r="T624" s="1219"/>
      <c r="U624" s="1220"/>
      <c r="V624" s="1221"/>
      <c r="W624" s="1222"/>
      <c r="X624" s="1222"/>
      <c r="Y624" s="1222"/>
      <c r="Z624" s="1222"/>
      <c r="AA624" s="1223"/>
      <c r="AB624" s="1225"/>
      <c r="AC624" s="1225"/>
      <c r="AD624" s="1225"/>
      <c r="AE624" s="1225"/>
      <c r="AF624" s="1225"/>
      <c r="AG624" s="1225"/>
      <c r="AH624" s="1225"/>
      <c r="AI624" s="1225"/>
      <c r="AJ624" s="1225"/>
      <c r="AK624" s="1225"/>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501</v>
      </c>
      <c r="C625" s="1100"/>
      <c r="D625" s="1100"/>
      <c r="E625" s="1100"/>
      <c r="F625" s="1100"/>
      <c r="G625" s="1100"/>
      <c r="H625" s="1100"/>
      <c r="I625" s="1100"/>
      <c r="J625" s="1100"/>
      <c r="K625" s="1100"/>
      <c r="L625" s="1100"/>
      <c r="M625" s="1100"/>
      <c r="N625" s="1100"/>
      <c r="O625" s="1224"/>
      <c r="P625" s="1221"/>
      <c r="Q625" s="1222"/>
      <c r="R625" s="1223"/>
      <c r="S625" s="1218"/>
      <c r="T625" s="1219"/>
      <c r="U625" s="1220"/>
      <c r="V625" s="1221"/>
      <c r="W625" s="1222"/>
      <c r="X625" s="1222"/>
      <c r="Y625" s="1222"/>
      <c r="Z625" s="1222"/>
      <c r="AA625" s="1223"/>
      <c r="AB625" s="1225"/>
      <c r="AC625" s="1225"/>
      <c r="AD625" s="1225"/>
      <c r="AE625" s="1225"/>
      <c r="AF625" s="1225"/>
      <c r="AG625" s="1225"/>
      <c r="AH625" s="1225"/>
      <c r="AI625" s="1225"/>
      <c r="AJ625" s="1225"/>
      <c r="AK625" s="1225"/>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24"/>
      <c r="P626" s="1221"/>
      <c r="Q626" s="1222"/>
      <c r="R626" s="1223"/>
      <c r="S626" s="1218"/>
      <c r="T626" s="1219"/>
      <c r="U626" s="1220"/>
      <c r="V626" s="1221"/>
      <c r="W626" s="1222"/>
      <c r="X626" s="1222"/>
      <c r="Y626" s="1222"/>
      <c r="Z626" s="1222"/>
      <c r="AA626" s="1223"/>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24"/>
      <c r="P627" s="1221"/>
      <c r="Q627" s="1222"/>
      <c r="R627" s="1223"/>
      <c r="S627" s="1218"/>
      <c r="T627" s="1219"/>
      <c r="U627" s="1220"/>
      <c r="V627" s="1221"/>
      <c r="W627" s="1222"/>
      <c r="X627" s="1222"/>
      <c r="Y627" s="1222"/>
      <c r="Z627" s="1222"/>
      <c r="AA627" s="1223"/>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385</v>
      </c>
      <c r="C628" s="1100"/>
      <c r="D628" s="1100"/>
      <c r="E628" s="1100"/>
      <c r="F628" s="1100"/>
      <c r="G628" s="1100"/>
      <c r="H628" s="1100"/>
      <c r="I628" s="1100"/>
      <c r="J628" s="1100"/>
      <c r="K628" s="1100"/>
      <c r="L628" s="1100"/>
      <c r="M628" s="1100"/>
      <c r="N628" s="1100"/>
      <c r="O628" s="1224"/>
      <c r="P628" s="1221"/>
      <c r="Q628" s="1222"/>
      <c r="R628" s="1223"/>
      <c r="S628" s="1218"/>
      <c r="T628" s="1219"/>
      <c r="U628" s="1220"/>
      <c r="V628" s="1221"/>
      <c r="W628" s="1222"/>
      <c r="X628" s="1222"/>
      <c r="Y628" s="1222"/>
      <c r="Z628" s="1222"/>
      <c r="AA628" s="1223"/>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386</v>
      </c>
      <c r="C629" s="1120"/>
      <c r="D629" s="1100"/>
      <c r="E629" s="1100"/>
      <c r="F629" s="1100"/>
      <c r="G629" s="1100"/>
      <c r="H629" s="1100"/>
      <c r="I629" s="1100"/>
      <c r="J629" s="1100"/>
      <c r="K629" s="1100"/>
      <c r="L629" s="1100"/>
      <c r="M629" s="1100"/>
      <c r="N629" s="1100"/>
      <c r="O629" s="1224"/>
      <c r="P629" s="1221"/>
      <c r="Q629" s="1222"/>
      <c r="R629" s="1223"/>
      <c r="S629" s="1218"/>
      <c r="T629" s="1219"/>
      <c r="U629" s="1220"/>
      <c r="V629" s="1221"/>
      <c r="W629" s="1222"/>
      <c r="X629" s="1222"/>
      <c r="Y629" s="1222"/>
      <c r="Z629" s="1222"/>
      <c r="AA629" s="1223"/>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18101162</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2.75">
      <c r="B631" s="1130" t="s">
        <v>282</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7753255</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2.75">
      <c r="B632" s="1130" t="s">
        <v>283</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25854417</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509</v>
      </c>
      <c r="G634" s="1097" t="str">
        <f>C618</f>
        <v>US Bank - taxable perm loan</v>
      </c>
      <c r="H634" s="1097"/>
      <c r="I634" s="1097"/>
      <c r="J634" s="1097"/>
      <c r="K634" s="1097"/>
      <c r="L634" s="1097"/>
      <c r="M634" s="1097"/>
      <c r="N634" s="1097"/>
      <c r="O634" s="1097"/>
      <c r="P634" s="1097"/>
      <c r="Q634" s="1097"/>
      <c r="R634" s="1097"/>
      <c r="S634" s="14"/>
      <c r="T634" s="87" t="s">
        <v>120</v>
      </c>
      <c r="U634" s="12" t="s">
        <v>509</v>
      </c>
      <c r="Z634" s="1097" t="str">
        <f>C619</f>
        <v>SRC-PH Affordable Funding gap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1763</v>
      </c>
      <c r="H635" s="1095"/>
      <c r="I635" s="1095"/>
      <c r="J635" s="1095"/>
      <c r="K635" s="1095"/>
      <c r="L635" s="1095"/>
      <c r="M635" s="1095"/>
      <c r="N635" s="1095"/>
      <c r="O635" s="1095"/>
      <c r="P635" s="1095"/>
      <c r="Q635" s="1095"/>
      <c r="R635" s="1095"/>
      <c r="S635" s="14"/>
      <c r="T635" s="35"/>
      <c r="U635" s="12" t="s">
        <v>92</v>
      </c>
      <c r="Z635" s="1093" t="s">
        <v>1721</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58</v>
      </c>
      <c r="BG635" s="1135"/>
      <c r="BH635" s="1135"/>
      <c r="BI635" s="1135"/>
      <c r="BJ635" s="1136"/>
      <c r="BK635" s="1134">
        <f>BK614+BK621+BK633</f>
        <v>0</v>
      </c>
      <c r="BL635" s="1135"/>
      <c r="BM635" s="1135"/>
      <c r="BN635" s="1135"/>
      <c r="BO635" s="1136"/>
      <c r="BP635" s="1134">
        <f>BP614+BP621+BP633</f>
        <v>0</v>
      </c>
      <c r="BQ635" s="1135"/>
      <c r="BR635" s="1135"/>
      <c r="BS635" s="1135"/>
      <c r="BT635" s="1136"/>
      <c r="BU635" s="1134">
        <f>BU614+BU621+BU633</f>
        <v>0</v>
      </c>
      <c r="BV635" s="1135"/>
      <c r="BW635" s="1135"/>
      <c r="BX635" s="1135"/>
      <c r="BY635" s="1136"/>
      <c r="BZ635" s="1518">
        <f>BZ633+BZ621+BZ614</f>
        <v>0</v>
      </c>
      <c r="CA635" s="1527"/>
      <c r="CB635" s="1527"/>
      <c r="CC635" s="1527"/>
      <c r="CD635" s="1519"/>
      <c r="CE635" s="58"/>
      <c r="CF635" s="58"/>
      <c r="CG635" s="58"/>
      <c r="CH635" s="58"/>
      <c r="CI635" s="58"/>
      <c r="CJ635" s="58"/>
      <c r="CK635" s="58"/>
      <c r="CL635" s="58"/>
      <c r="CM635" s="58"/>
      <c r="CN635" s="58"/>
      <c r="CO635" s="58"/>
      <c r="CP635" s="58"/>
      <c r="CQ635" s="58"/>
      <c r="CR635" s="58"/>
    </row>
    <row r="636" spans="1:96" ht="12.75">
      <c r="A636" s="35"/>
      <c r="B636" s="12" t="s">
        <v>630</v>
      </c>
      <c r="G636" s="1093" t="s">
        <v>1746</v>
      </c>
      <c r="H636" s="1095"/>
      <c r="I636" s="1095"/>
      <c r="J636" s="1095"/>
      <c r="K636" s="1095"/>
      <c r="L636" s="1095"/>
      <c r="M636" s="1095"/>
      <c r="N636" s="1095"/>
      <c r="O636" s="1095"/>
      <c r="P636" s="1095"/>
      <c r="Q636" s="1095"/>
      <c r="R636" s="1095"/>
      <c r="S636" s="88"/>
      <c r="T636" s="35"/>
      <c r="U636" s="12" t="s">
        <v>630</v>
      </c>
      <c r="Z636" s="1120" t="s">
        <v>1765</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1748</v>
      </c>
      <c r="H637" s="1095"/>
      <c r="I637" s="1095"/>
      <c r="J637" s="1095"/>
      <c r="K637" s="1095"/>
      <c r="L637" s="1095"/>
      <c r="M637" s="1095"/>
      <c r="N637" s="1095"/>
      <c r="O637" s="1095"/>
      <c r="P637" s="1095"/>
      <c r="Q637" s="1095"/>
      <c r="R637" s="1095"/>
      <c r="S637" s="14"/>
      <c r="T637" s="35"/>
      <c r="U637" s="12" t="s">
        <v>19</v>
      </c>
      <c r="Z637" s="1120" t="s">
        <v>1719</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8" t="s">
        <v>1749</v>
      </c>
      <c r="H638" s="1099"/>
      <c r="I638" s="1099"/>
      <c r="J638" s="1099"/>
      <c r="K638" s="1099"/>
      <c r="L638" s="1099"/>
      <c r="O638" s="140" t="s">
        <v>219</v>
      </c>
      <c r="P638" s="1100"/>
      <c r="Q638" s="1100"/>
      <c r="R638" s="1100"/>
      <c r="S638" s="16"/>
      <c r="T638" s="35"/>
      <c r="U638" s="12" t="s">
        <v>337</v>
      </c>
      <c r="Z638" s="1098" t="s">
        <v>1723</v>
      </c>
      <c r="AA638" s="1099"/>
      <c r="AB638" s="1099"/>
      <c r="AC638" s="1099"/>
      <c r="AD638" s="1099"/>
      <c r="AE638" s="1099"/>
      <c r="AH638" s="140" t="s">
        <v>219</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
        <v>1764</v>
      </c>
      <c r="I639" s="1095"/>
      <c r="J639" s="1095"/>
      <c r="K639" s="1095"/>
      <c r="L639" s="1095"/>
      <c r="M639" s="1095"/>
      <c r="N639" s="1095"/>
      <c r="O639" s="1095"/>
      <c r="P639" s="1095"/>
      <c r="Q639" s="1095"/>
      <c r="R639" s="1095"/>
      <c r="S639" s="14"/>
      <c r="T639" s="35"/>
      <c r="U639" s="12" t="s">
        <v>20</v>
      </c>
      <c r="AA639" s="1093" t="s">
        <v>1766</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591</v>
      </c>
      <c r="O640" s="1096"/>
      <c r="T640" s="35"/>
      <c r="U640" s="12" t="s">
        <v>22</v>
      </c>
      <c r="AG640" s="1096" t="s">
        <v>591</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7" t="str">
        <f>C620</f>
        <v>SRC- PH Purchase of Commercial space</v>
      </c>
      <c r="H642" s="1097"/>
      <c r="I642" s="1097"/>
      <c r="J642" s="1097"/>
      <c r="K642" s="1097"/>
      <c r="L642" s="1097"/>
      <c r="M642" s="1097"/>
      <c r="N642" s="1097"/>
      <c r="O642" s="1097"/>
      <c r="P642" s="1097"/>
      <c r="Q642" s="1097"/>
      <c r="R642" s="1097"/>
      <c r="T642" s="87" t="s">
        <v>631</v>
      </c>
      <c r="U642" s="12" t="s">
        <v>509</v>
      </c>
      <c r="Z642" s="1097" t="str">
        <f>C621</f>
        <v>Accrued Deferred Interest</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1721</v>
      </c>
      <c r="H643" s="1095"/>
      <c r="I643" s="1095"/>
      <c r="J643" s="1095"/>
      <c r="K643" s="1095"/>
      <c r="L643" s="1095"/>
      <c r="M643" s="1095"/>
      <c r="N643" s="1095"/>
      <c r="O643" s="1095"/>
      <c r="P643" s="1095"/>
      <c r="Q643" s="1095"/>
      <c r="R643" s="1095"/>
      <c r="T643" s="35"/>
      <c r="U643" s="12" t="s">
        <v>92</v>
      </c>
      <c r="Z643" s="1093" t="s">
        <v>1770</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0" t="s">
        <v>1768</v>
      </c>
      <c r="H644" s="1117"/>
      <c r="I644" s="1117"/>
      <c r="J644" s="1117"/>
      <c r="K644" s="1117"/>
      <c r="L644" s="1117"/>
      <c r="M644" s="1117"/>
      <c r="N644" s="1117"/>
      <c r="O644" s="1117"/>
      <c r="P644" s="1117"/>
      <c r="Q644" s="1117"/>
      <c r="R644" s="1117"/>
      <c r="T644" s="35"/>
      <c r="U644" s="12" t="s">
        <v>630</v>
      </c>
      <c r="Z644" s="1117"/>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1719</v>
      </c>
      <c r="H645" s="1117"/>
      <c r="I645" s="1117"/>
      <c r="J645" s="1117"/>
      <c r="K645" s="1117"/>
      <c r="L645" s="1117"/>
      <c r="M645" s="1117"/>
      <c r="N645" s="1117"/>
      <c r="O645" s="1117"/>
      <c r="P645" s="1117"/>
      <c r="Q645" s="1117"/>
      <c r="R645" s="1117"/>
      <c r="T645" s="35"/>
      <c r="U645" s="12" t="s">
        <v>19</v>
      </c>
      <c r="Z645" s="1117"/>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8" t="s">
        <v>1723</v>
      </c>
      <c r="H646" s="1099"/>
      <c r="I646" s="1099"/>
      <c r="J646" s="1099"/>
      <c r="K646" s="1099"/>
      <c r="L646" s="1099"/>
      <c r="O646" s="140" t="s">
        <v>219</v>
      </c>
      <c r="P646" s="1100"/>
      <c r="Q646" s="1100"/>
      <c r="R646" s="1100"/>
      <c r="T646" s="35"/>
      <c r="U646" s="12" t="s">
        <v>337</v>
      </c>
      <c r="Z646" s="1099"/>
      <c r="AA646" s="1099"/>
      <c r="AB646" s="1099"/>
      <c r="AC646" s="1099"/>
      <c r="AD646" s="1099"/>
      <c r="AE646" s="1099"/>
      <c r="AH646" s="140" t="s">
        <v>219</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
        <v>1769</v>
      </c>
      <c r="I647" s="1095"/>
      <c r="J647" s="1095"/>
      <c r="K647" s="1095"/>
      <c r="L647" s="1095"/>
      <c r="M647" s="1095"/>
      <c r="N647" s="1095"/>
      <c r="O647" s="1095"/>
      <c r="P647" s="1095"/>
      <c r="Q647" s="1095"/>
      <c r="R647" s="1095"/>
      <c r="T647" s="35"/>
      <c r="U647" s="12" t="s">
        <v>20</v>
      </c>
      <c r="AA647" s="1095"/>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591</v>
      </c>
      <c r="O648" s="1096"/>
      <c r="T648" s="35"/>
      <c r="U648" s="12" t="s">
        <v>22</v>
      </c>
      <c r="AG648" s="1096" t="s">
        <v>722</v>
      </c>
      <c r="AH648" s="109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2402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7" t="str">
        <f>C622</f>
        <v>GP Capital Contribution (developer fee)</v>
      </c>
      <c r="H650" s="1097"/>
      <c r="I650" s="1097"/>
      <c r="J650" s="1097"/>
      <c r="K650" s="1097"/>
      <c r="L650" s="1097"/>
      <c r="M650" s="1097"/>
      <c r="N650" s="1097"/>
      <c r="O650" s="1097"/>
      <c r="P650" s="1097"/>
      <c r="Q650" s="1097"/>
      <c r="R650" s="1097"/>
      <c r="T650" s="87" t="s">
        <v>634</v>
      </c>
      <c r="U650" s="12" t="s">
        <v>509</v>
      </c>
      <c r="Z650" s="1097" t="str">
        <f>C623</f>
        <v xml:space="preserve">GP Capital </v>
      </c>
      <c r="AA650" s="1097"/>
      <c r="AB650" s="1097"/>
      <c r="AC650" s="1097"/>
      <c r="AD650" s="1097"/>
      <c r="AE650" s="1097"/>
      <c r="AF650" s="1097"/>
      <c r="AG650" s="1097"/>
      <c r="AH650" s="1097"/>
      <c r="AI650" s="1097"/>
      <c r="AJ650" s="1097"/>
      <c r="AK650" s="1097"/>
      <c r="AM650" s="58"/>
      <c r="AN650" s="463">
        <f t="shared" si="22"/>
        <v>2402</v>
      </c>
      <c r="AO650" s="58"/>
      <c r="AP650" s="58"/>
      <c r="AQ650" s="58"/>
      <c r="AR650" s="58"/>
      <c r="AS650" s="399"/>
      <c r="AT650" s="473">
        <f t="shared" ref="AT650:AT674" si="23">G709</f>
        <v>40</v>
      </c>
      <c r="AU650" s="477">
        <f>AT650/$AT$675</f>
        <v>0.70175438596491224</v>
      </c>
      <c r="AV650" s="478">
        <f t="shared" ref="AV650:AV674" si="24">IF(AU650=0," ",AU650*AD709)</f>
        <v>0.42105263157894735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1771</v>
      </c>
      <c r="H651" s="1095"/>
      <c r="I651" s="1095"/>
      <c r="J651" s="1095"/>
      <c r="K651" s="1095"/>
      <c r="L651" s="1095"/>
      <c r="M651" s="1095"/>
      <c r="N651" s="1095"/>
      <c r="O651" s="1095"/>
      <c r="P651" s="1095"/>
      <c r="Q651" s="1095"/>
      <c r="R651" s="1095"/>
      <c r="T651" s="35"/>
      <c r="U651" s="12" t="s">
        <v>92</v>
      </c>
      <c r="Z651" s="1093" t="s">
        <v>1772</v>
      </c>
      <c r="AA651" s="1095"/>
      <c r="AB651" s="1095"/>
      <c r="AC651" s="1095"/>
      <c r="AD651" s="1095"/>
      <c r="AE651" s="1095"/>
      <c r="AF651" s="1095"/>
      <c r="AG651" s="1095"/>
      <c r="AH651" s="1095"/>
      <c r="AI651" s="1095"/>
      <c r="AJ651" s="1095"/>
      <c r="AK651" s="1095"/>
      <c r="AM651" s="58"/>
      <c r="AN651" s="463" t="str">
        <f t="shared" si="22"/>
        <v>N/A</v>
      </c>
      <c r="AO651" s="58"/>
      <c r="AP651" s="58"/>
      <c r="AQ651" s="58"/>
      <c r="AR651" s="58"/>
      <c r="AS651" s="399"/>
      <c r="AT651" s="474">
        <f t="shared" si="23"/>
        <v>17</v>
      </c>
      <c r="AU651" s="477">
        <f t="shared" ref="AU651:AU674" si="25">AT651/$AT$675</f>
        <v>0.2982456140350877</v>
      </c>
      <c r="AV651" s="478">
        <f t="shared" si="24"/>
        <v>0.14912280701754385</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3" t="s">
        <v>1674</v>
      </c>
      <c r="H652" s="1095"/>
      <c r="I652" s="1095"/>
      <c r="J652" s="1095"/>
      <c r="K652" s="1095"/>
      <c r="L652" s="1095"/>
      <c r="M652" s="1095"/>
      <c r="N652" s="1095"/>
      <c r="O652" s="1095"/>
      <c r="P652" s="1095"/>
      <c r="Q652" s="1095"/>
      <c r="R652" s="1095"/>
      <c r="T652" s="35"/>
      <c r="U652" s="12" t="s">
        <v>630</v>
      </c>
      <c r="Z652" s="1117"/>
      <c r="AA652" s="1117"/>
      <c r="AB652" s="1117"/>
      <c r="AC652" s="1117"/>
      <c r="AD652" s="1117"/>
      <c r="AE652" s="1117"/>
      <c r="AF652" s="1117"/>
      <c r="AG652" s="1117"/>
      <c r="AH652" s="1117"/>
      <c r="AI652" s="1117"/>
      <c r="AJ652" s="1117"/>
      <c r="AK652" s="111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3" t="s">
        <v>1668</v>
      </c>
      <c r="H653" s="1095"/>
      <c r="I653" s="1095"/>
      <c r="J653" s="1095"/>
      <c r="K653" s="1095"/>
      <c r="L653" s="1095"/>
      <c r="M653" s="1095"/>
      <c r="N653" s="1095"/>
      <c r="O653" s="1095"/>
      <c r="P653" s="1095"/>
      <c r="Q653" s="1095"/>
      <c r="R653" s="1095"/>
      <c r="T653" s="35"/>
      <c r="U653" s="12" t="s">
        <v>19</v>
      </c>
      <c r="Z653" s="1117"/>
      <c r="AA653" s="1117"/>
      <c r="AB653" s="1117"/>
      <c r="AC653" s="1117"/>
      <c r="AD653" s="1117"/>
      <c r="AE653" s="1117"/>
      <c r="AF653" s="1117"/>
      <c r="AG653" s="1117"/>
      <c r="AH653" s="1117"/>
      <c r="AI653" s="1117"/>
      <c r="AJ653" s="1117"/>
      <c r="AK653" s="111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8" t="s">
        <v>1669</v>
      </c>
      <c r="H654" s="1099"/>
      <c r="I654" s="1099"/>
      <c r="J654" s="1099"/>
      <c r="K654" s="1099"/>
      <c r="L654" s="1099"/>
      <c r="O654" s="140" t="s">
        <v>219</v>
      </c>
      <c r="P654" s="1100"/>
      <c r="Q654" s="1100"/>
      <c r="R654" s="1100"/>
      <c r="T654" s="35"/>
      <c r="U654" s="12" t="s">
        <v>337</v>
      </c>
      <c r="Z654" s="1099"/>
      <c r="AA654" s="1099"/>
      <c r="AB654" s="1099"/>
      <c r="AC654" s="1099"/>
      <c r="AD654" s="1099"/>
      <c r="AE654" s="1099"/>
      <c r="AH654" s="140" t="s">
        <v>219</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t="s">
        <v>1742</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591</v>
      </c>
      <c r="O656" s="1096"/>
      <c r="T656" s="35"/>
      <c r="U656" s="12" t="s">
        <v>22</v>
      </c>
      <c r="AG656" s="1096" t="s">
        <v>591</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7">
        <f>C624</f>
        <v>0</v>
      </c>
      <c r="H658" s="1097"/>
      <c r="I658" s="1097"/>
      <c r="J658" s="1097"/>
      <c r="K658" s="1097"/>
      <c r="L658" s="1097"/>
      <c r="M658" s="1097"/>
      <c r="N658" s="1097"/>
      <c r="O658" s="1097"/>
      <c r="P658" s="1097"/>
      <c r="Q658" s="1097"/>
      <c r="R658" s="1097"/>
      <c r="T658" s="87" t="s">
        <v>501</v>
      </c>
      <c r="U658" s="12" t="s">
        <v>509</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099"/>
      <c r="H662" s="1099"/>
      <c r="I662" s="1099"/>
      <c r="J662" s="1099"/>
      <c r="K662" s="1099"/>
      <c r="L662" s="1099"/>
      <c r="O662" s="140" t="s">
        <v>219</v>
      </c>
      <c r="P662" s="1100"/>
      <c r="Q662" s="1100"/>
      <c r="R662" s="1100"/>
      <c r="T662" s="35"/>
      <c r="U662" s="12" t="s">
        <v>337</v>
      </c>
      <c r="Z662" s="1099"/>
      <c r="AA662" s="1099"/>
      <c r="AB662" s="1099"/>
      <c r="AC662" s="1099"/>
      <c r="AD662" s="1099"/>
      <c r="AE662" s="1099"/>
      <c r="AH662" s="140" t="s">
        <v>219</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722</v>
      </c>
      <c r="O664" s="1096"/>
      <c r="T664" s="35"/>
      <c r="U664" s="12" t="s">
        <v>22</v>
      </c>
      <c r="AG664" s="1096" t="s">
        <v>722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7">
        <f>C626</f>
        <v>0</v>
      </c>
      <c r="H666" s="1097"/>
      <c r="I666" s="1097"/>
      <c r="J666" s="1097"/>
      <c r="K666" s="1097"/>
      <c r="L666" s="1097"/>
      <c r="M666" s="1097"/>
      <c r="N666" s="1097"/>
      <c r="O666" s="1097"/>
      <c r="P666" s="1097"/>
      <c r="Q666" s="1097"/>
      <c r="R666" s="1097"/>
      <c r="T666" s="87" t="s">
        <v>696</v>
      </c>
      <c r="U666" s="12" t="s">
        <v>509</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099"/>
      <c r="H670" s="1099"/>
      <c r="I670" s="1099"/>
      <c r="J670" s="1099"/>
      <c r="K670" s="1099"/>
      <c r="L670" s="1099"/>
      <c r="O670" s="140" t="s">
        <v>219</v>
      </c>
      <c r="P670" s="1100"/>
      <c r="Q670" s="1100"/>
      <c r="R670" s="1100"/>
      <c r="T670" s="35"/>
      <c r="U670" s="12" t="s">
        <v>337</v>
      </c>
      <c r="Z670" s="1099"/>
      <c r="AA670" s="1099"/>
      <c r="AB670" s="1099"/>
      <c r="AC670" s="1099"/>
      <c r="AD670" s="1099"/>
      <c r="AE670" s="1099"/>
      <c r="AH670" s="140" t="s">
        <v>219</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722</v>
      </c>
      <c r="O672" s="1096"/>
      <c r="T672" s="35"/>
      <c r="U672" s="12" t="s">
        <v>22</v>
      </c>
      <c r="AG672" s="1096" t="s">
        <v>722</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7">
        <f>C628</f>
        <v>0</v>
      </c>
      <c r="H674" s="1097"/>
      <c r="I674" s="1097"/>
      <c r="J674" s="1097"/>
      <c r="K674" s="1097"/>
      <c r="L674" s="1097"/>
      <c r="M674" s="1097"/>
      <c r="N674" s="1097"/>
      <c r="O674" s="1097"/>
      <c r="P674" s="1097"/>
      <c r="Q674" s="1097"/>
      <c r="R674" s="1097"/>
      <c r="T674" s="87" t="s">
        <v>386</v>
      </c>
      <c r="U674" s="12" t="s">
        <v>509</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997</v>
      </c>
      <c r="AT675" s="479">
        <f>SUM(AT650:AT674)</f>
        <v>57</v>
      </c>
      <c r="AU675" s="480">
        <f>SUM(AU650:AU674)</f>
        <v>1</v>
      </c>
      <c r="AV675" s="480">
        <f>SUM(AV650:AV674)</f>
        <v>0.57017543859649122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099"/>
      <c r="H678" s="1099"/>
      <c r="I678" s="1099"/>
      <c r="J678" s="1099"/>
      <c r="K678" s="1099"/>
      <c r="L678" s="1099"/>
      <c r="O678" s="140" t="s">
        <v>219</v>
      </c>
      <c r="P678" s="1100"/>
      <c r="Q678" s="1100"/>
      <c r="R678" s="1100"/>
      <c r="U678" s="12" t="s">
        <v>337</v>
      </c>
      <c r="Z678" s="1099"/>
      <c r="AA678" s="1099"/>
      <c r="AB678" s="1099"/>
      <c r="AC678" s="1099"/>
      <c r="AD678" s="1099"/>
      <c r="AE678" s="1099"/>
      <c r="AH678" s="140" t="s">
        <v>219</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722</v>
      </c>
      <c r="O680" s="1096"/>
      <c r="U680" s="12" t="s">
        <v>22</v>
      </c>
      <c r="AG680" s="1096" t="s">
        <v>722</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591</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722</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0">
        <v>43966</v>
      </c>
      <c r="AF686" s="1420"/>
      <c r="AG686" s="1420"/>
      <c r="AH686" s="1420"/>
      <c r="AI686" s="1420"/>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1">
        <v>44062</v>
      </c>
      <c r="AF687" s="1421"/>
      <c r="AG687" s="1421"/>
      <c r="AH687" s="1421"/>
      <c r="AI687" s="1421"/>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0">
        <v>44166</v>
      </c>
      <c r="AF689" s="1420"/>
      <c r="AG689" s="1420"/>
      <c r="AH689" s="1420"/>
      <c r="AI689" s="14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2">
        <v>0.6</v>
      </c>
      <c r="AF690" s="1422"/>
      <c r="AG690" s="1422"/>
      <c r="AH690" s="1422"/>
      <c r="AI690" s="142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7" t="str">
        <f>H330</f>
        <v>CMFA</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722</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219</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328</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356</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420</v>
      </c>
      <c r="C705" s="1102"/>
      <c r="D705" s="1102"/>
      <c r="E705" s="1102"/>
      <c r="F705" s="1103"/>
      <c r="G705" s="1101" t="s">
        <v>301</v>
      </c>
      <c r="H705" s="1102"/>
      <c r="I705" s="1102"/>
      <c r="J705" s="1103"/>
      <c r="K705" s="1101" t="s">
        <v>491</v>
      </c>
      <c r="L705" s="1102"/>
      <c r="M705" s="1102"/>
      <c r="N705" s="1102"/>
      <c r="O705" s="1103"/>
      <c r="P705" s="1101" t="s">
        <v>302</v>
      </c>
      <c r="Q705" s="1102"/>
      <c r="R705" s="1102"/>
      <c r="S705" s="1102"/>
      <c r="T705" s="1103"/>
      <c r="U705" s="1101" t="s">
        <v>303</v>
      </c>
      <c r="V705" s="1102"/>
      <c r="W705" s="1102"/>
      <c r="X705" s="1103"/>
      <c r="Y705" s="1101" t="s">
        <v>304</v>
      </c>
      <c r="Z705" s="1102"/>
      <c r="AA705" s="1102"/>
      <c r="AB705" s="1102"/>
      <c r="AC705" s="1103"/>
      <c r="AD705" s="1101" t="s">
        <v>421</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347</v>
      </c>
      <c r="C709" s="1168"/>
      <c r="D709" s="1168"/>
      <c r="E709" s="1168"/>
      <c r="F709" s="1169"/>
      <c r="G709" s="1123">
        <v>40</v>
      </c>
      <c r="H709" s="1124"/>
      <c r="I709" s="1124"/>
      <c r="J709" s="1125"/>
      <c r="K709" s="1182">
        <v>1144</v>
      </c>
      <c r="L709" s="1183"/>
      <c r="M709" s="1183"/>
      <c r="N709" s="1183"/>
      <c r="O709" s="1184"/>
      <c r="P709" s="1153">
        <f t="shared" ref="P709:P733" si="26">G709*K709</f>
        <v>45760</v>
      </c>
      <c r="Q709" s="1114"/>
      <c r="R709" s="1114"/>
      <c r="S709" s="1114"/>
      <c r="T709" s="1154"/>
      <c r="U709" s="1182">
        <v>57</v>
      </c>
      <c r="V709" s="1183"/>
      <c r="W709" s="1183"/>
      <c r="X709" s="1184"/>
      <c r="Y709" s="1153">
        <f>K709+U709</f>
        <v>1201</v>
      </c>
      <c r="Z709" s="1114"/>
      <c r="AA709" s="1114"/>
      <c r="AB709" s="1114"/>
      <c r="AC709" s="1154"/>
      <c r="AD709" s="1111">
        <v>0.6</v>
      </c>
      <c r="AE709" s="1112"/>
      <c r="AF709" s="1112"/>
      <c r="AG709" s="1112"/>
      <c r="AH709" s="1113"/>
      <c r="AI709" s="1127">
        <f t="shared" ref="AI709:AI733" si="27">IF($AD709&gt;0,($Y709/$AN649), " ")</f>
        <v>0.5</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347</v>
      </c>
      <c r="C710" s="1168"/>
      <c r="D710" s="1168"/>
      <c r="E710" s="1168"/>
      <c r="F710" s="1169"/>
      <c r="G710" s="1123">
        <v>17</v>
      </c>
      <c r="H710" s="1124"/>
      <c r="I710" s="1124"/>
      <c r="J710" s="1125"/>
      <c r="K710" s="1182">
        <v>1144</v>
      </c>
      <c r="L710" s="1183"/>
      <c r="M710" s="1183"/>
      <c r="N710" s="1183"/>
      <c r="O710" s="1184"/>
      <c r="P710" s="1153">
        <f t="shared" si="26"/>
        <v>19448</v>
      </c>
      <c r="Q710" s="1114"/>
      <c r="R710" s="1114"/>
      <c r="S710" s="1114"/>
      <c r="T710" s="1154"/>
      <c r="U710" s="1182">
        <v>57</v>
      </c>
      <c r="V710" s="1183"/>
      <c r="W710" s="1183"/>
      <c r="X710" s="1184"/>
      <c r="Y710" s="1153">
        <f t="shared" ref="Y710:Y733" si="28">K710+U710</f>
        <v>1201</v>
      </c>
      <c r="Z710" s="1114"/>
      <c r="AA710" s="1114"/>
      <c r="AB710" s="1114"/>
      <c r="AC710" s="1154"/>
      <c r="AD710" s="1111">
        <v>0.5</v>
      </c>
      <c r="AE710" s="1112"/>
      <c r="AF710" s="1112"/>
      <c r="AG710" s="1112"/>
      <c r="AH710" s="1113"/>
      <c r="AI710" s="1127">
        <f t="shared" si="27"/>
        <v>0.5</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c r="C711" s="1168"/>
      <c r="D711" s="1168"/>
      <c r="E711" s="1168"/>
      <c r="F711" s="1169"/>
      <c r="G711" s="1123"/>
      <c r="H711" s="1124"/>
      <c r="I711" s="1124"/>
      <c r="J711" s="1125"/>
      <c r="K711" s="1182"/>
      <c r="L711" s="1183"/>
      <c r="M711" s="1183"/>
      <c r="N711" s="1183"/>
      <c r="O711" s="1184"/>
      <c r="P711" s="1153">
        <f t="shared" si="26"/>
        <v>0</v>
      </c>
      <c r="Q711" s="1114"/>
      <c r="R711" s="1114"/>
      <c r="S711" s="1114"/>
      <c r="T711" s="1154"/>
      <c r="U711" s="1182"/>
      <c r="V711" s="1183"/>
      <c r="W711" s="1183"/>
      <c r="X711" s="1184"/>
      <c r="Y711" s="1153">
        <f t="shared" si="28"/>
        <v>0</v>
      </c>
      <c r="Z711" s="1114"/>
      <c r="AA711" s="1114"/>
      <c r="AB711" s="1114"/>
      <c r="AC711" s="1154"/>
      <c r="AD711" s="1111"/>
      <c r="AE711" s="1112"/>
      <c r="AF711" s="1112"/>
      <c r="AG711" s="1112"/>
      <c r="AH711" s="1113"/>
      <c r="AI711" s="1127" t="str">
        <f t="shared" si="27"/>
        <v xml:space="preserve"> </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c r="C712" s="1168"/>
      <c r="D712" s="1168"/>
      <c r="E712" s="1168"/>
      <c r="F712" s="1169"/>
      <c r="G712" s="1123"/>
      <c r="H712" s="1124"/>
      <c r="I712" s="1124"/>
      <c r="J712" s="1125"/>
      <c r="K712" s="1181"/>
      <c r="L712" s="1181"/>
      <c r="M712" s="1181"/>
      <c r="N712" s="1181"/>
      <c r="O712" s="1181"/>
      <c r="P712" s="1122">
        <f t="shared" si="26"/>
        <v>0</v>
      </c>
      <c r="Q712" s="1122"/>
      <c r="R712" s="1122"/>
      <c r="S712" s="1122"/>
      <c r="T712" s="1122"/>
      <c r="U712" s="1182"/>
      <c r="V712" s="1183"/>
      <c r="W712" s="1183"/>
      <c r="X712" s="1184"/>
      <c r="Y712" s="1122">
        <f t="shared" si="28"/>
        <v>0</v>
      </c>
      <c r="Z712" s="1122"/>
      <c r="AA712" s="1122"/>
      <c r="AB712" s="1122"/>
      <c r="AC712" s="1122"/>
      <c r="AD712" s="1111"/>
      <c r="AE712" s="1112"/>
      <c r="AF712" s="1112"/>
      <c r="AG712" s="1112"/>
      <c r="AH712" s="1113"/>
      <c r="AI712" s="1127" t="str">
        <f t="shared" si="27"/>
        <v xml:space="preserve"> </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c r="C713" s="1168"/>
      <c r="D713" s="1168"/>
      <c r="E713" s="1168"/>
      <c r="F713" s="1169"/>
      <c r="G713" s="1123"/>
      <c r="H713" s="1124"/>
      <c r="I713" s="1124"/>
      <c r="J713" s="1125"/>
      <c r="K713" s="1181"/>
      <c r="L713" s="1181"/>
      <c r="M713" s="1181"/>
      <c r="N713" s="1181"/>
      <c r="O713" s="1181"/>
      <c r="P713" s="1122">
        <f t="shared" si="26"/>
        <v>0</v>
      </c>
      <c r="Q713" s="1122"/>
      <c r="R713" s="1122"/>
      <c r="S713" s="1122"/>
      <c r="T713" s="1122"/>
      <c r="U713" s="1182"/>
      <c r="V713" s="1183"/>
      <c r="W713" s="1183"/>
      <c r="X713" s="1184"/>
      <c r="Y713" s="1122">
        <f t="shared" si="28"/>
        <v>0</v>
      </c>
      <c r="Z713" s="1122"/>
      <c r="AA713" s="1122"/>
      <c r="AB713" s="1122"/>
      <c r="AC713" s="1122"/>
      <c r="AD713" s="1111"/>
      <c r="AE713" s="1112"/>
      <c r="AF713" s="1112"/>
      <c r="AG713" s="1112"/>
      <c r="AH713" s="1113"/>
      <c r="AI713" s="1127" t="str">
        <f t="shared" si="27"/>
        <v xml:space="preserve"> </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c r="C714" s="1168"/>
      <c r="D714" s="1168"/>
      <c r="E714" s="1168"/>
      <c r="F714" s="1169"/>
      <c r="G714" s="1123"/>
      <c r="H714" s="1124"/>
      <c r="I714" s="1124"/>
      <c r="J714" s="1125"/>
      <c r="K714" s="1181"/>
      <c r="L714" s="1181"/>
      <c r="M714" s="1181"/>
      <c r="N714" s="1181"/>
      <c r="O714" s="1181"/>
      <c r="P714" s="1122">
        <f t="shared" si="26"/>
        <v>0</v>
      </c>
      <c r="Q714" s="1122"/>
      <c r="R714" s="1122"/>
      <c r="S714" s="1122"/>
      <c r="T714" s="1122"/>
      <c r="U714" s="1182"/>
      <c r="V714" s="1183"/>
      <c r="W714" s="1183"/>
      <c r="X714" s="1184"/>
      <c r="Y714" s="1122">
        <f t="shared" si="28"/>
        <v>0</v>
      </c>
      <c r="Z714" s="1122"/>
      <c r="AA714" s="1122"/>
      <c r="AB714" s="1122"/>
      <c r="AC714" s="1122"/>
      <c r="AD714" s="1111"/>
      <c r="AE714" s="1112"/>
      <c r="AF714" s="1112"/>
      <c r="AG714" s="1112"/>
      <c r="AH714" s="1113"/>
      <c r="AI714" s="1127" t="str">
        <f t="shared" si="27"/>
        <v xml:space="preserve"> </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2">
        <f t="shared" si="26"/>
        <v>0</v>
      </c>
      <c r="Q715" s="1122"/>
      <c r="R715" s="1122"/>
      <c r="S715" s="1122"/>
      <c r="T715" s="1122"/>
      <c r="U715" s="1182"/>
      <c r="V715" s="1183"/>
      <c r="W715" s="1183"/>
      <c r="X715" s="1184"/>
      <c r="Y715" s="1122">
        <f t="shared" si="28"/>
        <v>0</v>
      </c>
      <c r="Z715" s="1122"/>
      <c r="AA715" s="1122"/>
      <c r="AB715" s="1122"/>
      <c r="AC715" s="1122"/>
      <c r="AD715" s="1111"/>
      <c r="AE715" s="1112"/>
      <c r="AF715" s="1112"/>
      <c r="AG715" s="1112"/>
      <c r="AH715" s="1113"/>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2">
        <f t="shared" si="26"/>
        <v>0</v>
      </c>
      <c r="Q716" s="1122"/>
      <c r="R716" s="1122"/>
      <c r="S716" s="1122"/>
      <c r="T716" s="1122"/>
      <c r="U716" s="1182"/>
      <c r="V716" s="1183"/>
      <c r="W716" s="1183"/>
      <c r="X716" s="1184"/>
      <c r="Y716" s="1122">
        <f t="shared" si="28"/>
        <v>0</v>
      </c>
      <c r="Z716" s="1122"/>
      <c r="AA716" s="1122"/>
      <c r="AB716" s="1122"/>
      <c r="AC716" s="1122"/>
      <c r="AD716" s="1111"/>
      <c r="AE716" s="1112"/>
      <c r="AF716" s="1112"/>
      <c r="AG716" s="1112"/>
      <c r="AH716" s="1113"/>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2">
        <f t="shared" si="26"/>
        <v>0</v>
      </c>
      <c r="Q717" s="1122"/>
      <c r="R717" s="1122"/>
      <c r="S717" s="1122"/>
      <c r="T717" s="1122"/>
      <c r="U717" s="1182"/>
      <c r="V717" s="1183"/>
      <c r="W717" s="1183"/>
      <c r="X717" s="1184"/>
      <c r="Y717" s="1122">
        <f t="shared" si="28"/>
        <v>0</v>
      </c>
      <c r="Z717" s="1122"/>
      <c r="AA717" s="1122"/>
      <c r="AB717" s="1122"/>
      <c r="AC717" s="1122"/>
      <c r="AD717" s="1111"/>
      <c r="AE717" s="1112"/>
      <c r="AF717" s="1112"/>
      <c r="AG717" s="1112"/>
      <c r="AH717" s="1113"/>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6"/>
      <c r="L718" s="1256"/>
      <c r="M718" s="1256"/>
      <c r="N718" s="1256"/>
      <c r="O718" s="1256"/>
      <c r="P718" s="1126">
        <f t="shared" si="26"/>
        <v>0</v>
      </c>
      <c r="Q718" s="1126"/>
      <c r="R718" s="1126"/>
      <c r="S718" s="1126"/>
      <c r="T718" s="1126"/>
      <c r="U718" s="1182"/>
      <c r="V718" s="1183"/>
      <c r="W718" s="1183"/>
      <c r="X718" s="1184"/>
      <c r="Y718" s="1126">
        <f t="shared" si="28"/>
        <v>0</v>
      </c>
      <c r="Z718" s="1126"/>
      <c r="AA718" s="1126"/>
      <c r="AB718" s="1126"/>
      <c r="AC718" s="1126"/>
      <c r="AD718" s="1111"/>
      <c r="AE718" s="1112"/>
      <c r="AF718" s="1112"/>
      <c r="AG718" s="1112"/>
      <c r="AH718" s="1113"/>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1"/>
      <c r="AE719" s="1112"/>
      <c r="AF719" s="1112"/>
      <c r="AG719" s="1112"/>
      <c r="AH719" s="1113"/>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1">
        <v>0</v>
      </c>
      <c r="AE720" s="1112"/>
      <c r="AF720" s="1112"/>
      <c r="AG720" s="1112"/>
      <c r="AH720" s="1113"/>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1">
        <v>0</v>
      </c>
      <c r="AE721" s="1112"/>
      <c r="AF721" s="1112"/>
      <c r="AG721" s="1112"/>
      <c r="AH721" s="1113"/>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1">
        <v>0</v>
      </c>
      <c r="AE722" s="1112"/>
      <c r="AF722" s="1112"/>
      <c r="AG722" s="1112"/>
      <c r="AH722" s="1113"/>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1">
        <v>0</v>
      </c>
      <c r="AE723" s="1112"/>
      <c r="AF723" s="1112"/>
      <c r="AG723" s="1112"/>
      <c r="AH723" s="1113"/>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1">
        <v>0</v>
      </c>
      <c r="AE724" s="1112"/>
      <c r="AF724" s="1112"/>
      <c r="AG724" s="1112"/>
      <c r="AH724" s="1113"/>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1">
        <v>0</v>
      </c>
      <c r="AE725" s="1112"/>
      <c r="AF725" s="1112"/>
      <c r="AG725" s="1112"/>
      <c r="AH725" s="1113"/>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1">
        <v>0</v>
      </c>
      <c r="AE726" s="1112"/>
      <c r="AF726" s="1112"/>
      <c r="AG726" s="1112"/>
      <c r="AH726" s="1113"/>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1">
        <v>0</v>
      </c>
      <c r="AE727" s="1112"/>
      <c r="AF727" s="1112"/>
      <c r="AG727" s="1112"/>
      <c r="AH727" s="1113"/>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1">
        <v>0</v>
      </c>
      <c r="AE728" s="1112"/>
      <c r="AF728" s="1112"/>
      <c r="AG728" s="1112"/>
      <c r="AH728" s="1113"/>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1">
        <v>0</v>
      </c>
      <c r="AE729" s="1112"/>
      <c r="AF729" s="1112"/>
      <c r="AG729" s="1112"/>
      <c r="AH729" s="1113"/>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1">
        <v>0</v>
      </c>
      <c r="AE730" s="1112"/>
      <c r="AF730" s="1112"/>
      <c r="AG730" s="1112"/>
      <c r="AH730" s="1113"/>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1">
        <v>0</v>
      </c>
      <c r="AE731" s="1112"/>
      <c r="AF731" s="1112"/>
      <c r="AG731" s="1112"/>
      <c r="AH731" s="1113"/>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1">
        <v>0</v>
      </c>
      <c r="AE732" s="1112"/>
      <c r="AF732" s="1112"/>
      <c r="AG732" s="1112"/>
      <c r="AH732" s="1113"/>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1">
        <v>0</v>
      </c>
      <c r="AE733" s="1112"/>
      <c r="AF733" s="1112"/>
      <c r="AG733" s="1112"/>
      <c r="AH733" s="1113"/>
      <c r="AI733" s="1529" t="str">
        <f t="shared" si="27"/>
        <v xml:space="preserve"> </v>
      </c>
      <c r="AJ733" s="1530"/>
      <c r="AK733" s="153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7">
        <f>SUM(G709:J733)</f>
        <v>57</v>
      </c>
      <c r="H734" s="1228"/>
      <c r="I734" s="1228"/>
      <c r="J734" s="1229"/>
      <c r="K734" s="1164" t="s">
        <v>131</v>
      </c>
      <c r="L734" s="1165"/>
      <c r="M734" s="1165"/>
      <c r="N734" s="1165"/>
      <c r="O734" s="1166"/>
      <c r="P734" s="1153">
        <f>SUM(P709:T733)</f>
        <v>65208</v>
      </c>
      <c r="Q734" s="1114"/>
      <c r="R734" s="1114"/>
      <c r="S734" s="1114"/>
      <c r="T734" s="1154"/>
      <c r="Y734" s="1235" t="s">
        <v>998</v>
      </c>
      <c r="Z734" s="1236"/>
      <c r="AA734" s="1236"/>
      <c r="AB734" s="1236"/>
      <c r="AC734" s="1237"/>
      <c r="AD734" s="1568">
        <f>AV675</f>
        <v>0.57017543859649122</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641</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420</v>
      </c>
      <c r="K750" s="1102"/>
      <c r="L750" s="1102"/>
      <c r="M750" s="1102"/>
      <c r="N750" s="1103"/>
      <c r="O750" s="1226" t="s">
        <v>301</v>
      </c>
      <c r="P750" s="1226"/>
      <c r="Q750" s="1226"/>
      <c r="R750" s="1226"/>
      <c r="S750" s="1226"/>
      <c r="T750" s="1226" t="s">
        <v>491</v>
      </c>
      <c r="U750" s="1226"/>
      <c r="V750" s="1226"/>
      <c r="W750" s="1226"/>
      <c r="X750" s="1226"/>
      <c r="Y750" s="1226" t="s">
        <v>302</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347</v>
      </c>
      <c r="K754" s="1168"/>
      <c r="L754" s="1168"/>
      <c r="M754" s="1168"/>
      <c r="N754" s="1169"/>
      <c r="O754" s="1170">
        <v>1</v>
      </c>
      <c r="P754" s="1170"/>
      <c r="Q754" s="1170"/>
      <c r="R754" s="1170"/>
      <c r="S754" s="1170"/>
      <c r="T754" s="1181"/>
      <c r="U754" s="1181"/>
      <c r="V754" s="1181"/>
      <c r="W754" s="1181"/>
      <c r="X754" s="1181"/>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5">
        <f>SUM(O754:S757)</f>
        <v>1</v>
      </c>
      <c r="P758" s="1416"/>
      <c r="Q758" s="1416"/>
      <c r="R758" s="1416"/>
      <c r="S758" s="1417"/>
      <c r="T758" s="1409" t="s">
        <v>131</v>
      </c>
      <c r="U758" s="1410"/>
      <c r="V758" s="1410"/>
      <c r="W758" s="1410"/>
      <c r="X758" s="1411"/>
      <c r="Y758" s="1153">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4" t="s">
        <v>722</v>
      </c>
      <c r="K760" s="141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420</v>
      </c>
      <c r="K764" s="1102"/>
      <c r="L764" s="1102"/>
      <c r="M764" s="1102"/>
      <c r="N764" s="1103"/>
      <c r="O764" s="1226" t="s">
        <v>301</v>
      </c>
      <c r="P764" s="1226"/>
      <c r="Q764" s="1226"/>
      <c r="R764" s="1226"/>
      <c r="S764" s="1226"/>
      <c r="T764" s="1226" t="s">
        <v>491</v>
      </c>
      <c r="U764" s="1226"/>
      <c r="V764" s="1226"/>
      <c r="W764" s="1226"/>
      <c r="X764" s="1226"/>
      <c r="Y764" s="1226" t="s">
        <v>302</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8">
        <f>SUM(O768:S777)</f>
        <v>0</v>
      </c>
      <c r="P778" s="1408"/>
      <c r="Q778" s="1408"/>
      <c r="R778" s="1408"/>
      <c r="S778" s="1408"/>
      <c r="T778" s="1409" t="s">
        <v>131</v>
      </c>
      <c r="U778" s="1410"/>
      <c r="V778" s="1410"/>
      <c r="W778" s="1410"/>
      <c r="X778" s="1411"/>
      <c r="Y778" s="1153">
        <f>SUM(Y768:AC777)</f>
        <v>0</v>
      </c>
      <c r="Z778" s="1114"/>
      <c r="AA778" s="1114"/>
      <c r="AB778" s="1114"/>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3" t="s">
        <v>515</v>
      </c>
      <c r="BB779" s="1234"/>
      <c r="BC779" s="58"/>
      <c r="BD779" s="58"/>
      <c r="BE779" s="58"/>
      <c r="BF779" s="51" t="s">
        <v>684</v>
      </c>
      <c r="BG779" s="51"/>
      <c r="BH779" s="51"/>
      <c r="BI779" s="51"/>
      <c r="BJ779" s="51"/>
      <c r="BK779" s="51"/>
      <c r="BL779" s="51"/>
      <c r="BM779" s="51"/>
      <c r="BN779" s="51"/>
      <c r="BO779" s="1230" t="str">
        <f>T191</f>
        <v>Orange</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8">
        <f>P734+Y758+Y778</f>
        <v>65208</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782496</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2"/>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5"/>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0</v>
      </c>
      <c r="AA788" s="1211"/>
      <c r="AB788" s="1211"/>
      <c r="AC788" s="1211"/>
      <c r="AD788" s="1211"/>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0</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5568</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356</v>
      </c>
      <c r="Q796" s="1151"/>
      <c r="R796" s="1151"/>
      <c r="S796" s="1151"/>
      <c r="T796" s="1151"/>
      <c r="U796" s="1151"/>
      <c r="V796" s="1151"/>
      <c r="W796" s="1151"/>
      <c r="X796" s="1151"/>
      <c r="Y796" s="1152"/>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5568</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6">
        <f>Z797+Y781+Z789</f>
        <v>788064</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308</v>
      </c>
      <c r="R803" s="1148"/>
      <c r="S803" s="1148"/>
      <c r="T803" s="1148"/>
      <c r="U803" s="1148" t="s">
        <v>309</v>
      </c>
      <c r="V803" s="1148"/>
      <c r="W803" s="1148"/>
      <c r="X803" s="1148"/>
      <c r="Y803" s="1148" t="s">
        <v>310</v>
      </c>
      <c r="Z803" s="1148"/>
      <c r="AA803" s="1148"/>
      <c r="AB803" s="1148"/>
      <c r="AC803" s="1148" t="s">
        <v>384</v>
      </c>
      <c r="AD803" s="1148"/>
      <c r="AE803" s="1148"/>
      <c r="AF803" s="1148"/>
      <c r="AG803" s="1375" t="s">
        <v>357</v>
      </c>
      <c r="AH803" s="1375"/>
      <c r="AI803" s="1375"/>
      <c r="AJ803" s="1375"/>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5"/>
      <c r="AH804" s="1375"/>
      <c r="AI804" s="1375"/>
      <c r="AJ804" s="1375"/>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v>20</v>
      </c>
      <c r="R805" s="1158"/>
      <c r="S805" s="1158"/>
      <c r="T805" s="1158"/>
      <c r="U805" s="1158"/>
      <c r="V805" s="1158"/>
      <c r="W805" s="1158"/>
      <c r="X805" s="1158"/>
      <c r="Y805" s="1158"/>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v>6</v>
      </c>
      <c r="R807" s="1158"/>
      <c r="S807" s="1158"/>
      <c r="T807" s="1158"/>
      <c r="U807" s="1158"/>
      <c r="V807" s="1158"/>
      <c r="W807" s="1158"/>
      <c r="X807" s="1158"/>
      <c r="Y807" s="1158"/>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840</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505</v>
      </c>
      <c r="D809" s="1160"/>
      <c r="E809" s="1160"/>
      <c r="F809" s="1160"/>
      <c r="G809" s="1160"/>
      <c r="H809" s="1160"/>
      <c r="I809" s="96"/>
      <c r="J809" s="96"/>
      <c r="K809" s="96"/>
      <c r="L809" s="97"/>
      <c r="M809" s="1158"/>
      <c r="N809" s="1158"/>
      <c r="O809" s="1158"/>
      <c r="P809" s="1158"/>
      <c r="Q809" s="1158">
        <v>31</v>
      </c>
      <c r="R809" s="1158"/>
      <c r="S809" s="1158"/>
      <c r="T809" s="1158"/>
      <c r="U809" s="1158"/>
      <c r="V809" s="1158"/>
      <c r="W809" s="1158"/>
      <c r="X809" s="1158"/>
      <c r="Y809" s="1158"/>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864</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1" t="s">
        <v>356</v>
      </c>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57</v>
      </c>
      <c r="R812" s="1192"/>
      <c r="S812" s="1192"/>
      <c r="T812" s="1192"/>
      <c r="U812" s="1192">
        <f>SUM(U805:X811)</f>
        <v>0</v>
      </c>
      <c r="V812" s="1192"/>
      <c r="W812" s="1192"/>
      <c r="X812" s="1192"/>
      <c r="Y812" s="1192">
        <f>SUM(Y805:AB811)</f>
        <v>0</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1773</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5">
        <v>400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5">
        <v>1500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5">
        <v>10000</v>
      </c>
      <c r="X824" s="1225"/>
      <c r="Y824" s="1225"/>
      <c r="Z824" s="1225"/>
      <c r="AA824" s="1225"/>
      <c r="AB824" s="1225"/>
      <c r="AC824" s="1225"/>
      <c r="AD824" s="12"/>
      <c r="AE824" s="12"/>
      <c r="AF824" s="12"/>
      <c r="AG824" s="12"/>
      <c r="AH824" s="12"/>
      <c r="AI824" s="12"/>
      <c r="AJ824" s="12"/>
      <c r="AK824" s="12"/>
      <c r="AL824" s="12"/>
      <c r="AS824" s="21"/>
      <c r="AT824" s="56"/>
      <c r="AV824" s="1147">
        <f>ROUNDDOWN(AP908*2,2)</f>
        <v>0</v>
      </c>
      <c r="AW824" s="1147"/>
      <c r="AX824" s="1147"/>
      <c r="AY824" s="114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5"/>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23" t="s">
        <v>1774</v>
      </c>
      <c r="N826" s="1162"/>
      <c r="O826" s="1162"/>
      <c r="P826" s="1162"/>
      <c r="Q826" s="1162"/>
      <c r="R826" s="1162"/>
      <c r="S826" s="1162"/>
      <c r="T826" s="1162"/>
      <c r="U826" s="1162"/>
      <c r="V826" s="1163"/>
      <c r="W826" s="1225">
        <f>10020</f>
        <v>10020</v>
      </c>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6">
        <f>SUM(W822:AC826)</f>
        <v>21920</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4" t="s">
        <v>368</v>
      </c>
      <c r="K829" s="1165"/>
      <c r="L829" s="1165"/>
      <c r="M829" s="1165"/>
      <c r="N829" s="1165"/>
      <c r="O829" s="1165"/>
      <c r="P829" s="1165"/>
      <c r="Q829" s="1165"/>
      <c r="R829" s="1165"/>
      <c r="S829" s="1165"/>
      <c r="T829" s="1165"/>
      <c r="U829" s="1165"/>
      <c r="V829" s="1166"/>
      <c r="W829" s="1139">
        <v>33408</v>
      </c>
      <c r="X829" s="1140"/>
      <c r="Y829" s="1140"/>
      <c r="Z829" s="1140"/>
      <c r="AA829" s="1140"/>
      <c r="AB829" s="1140"/>
      <c r="AC829" s="114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79"/>
      <c r="X831" s="1379"/>
      <c r="Y831" s="1379"/>
      <c r="Z831" s="1379"/>
      <c r="AA831" s="1379"/>
      <c r="AB831" s="1379"/>
      <c r="AC831" s="1379"/>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79">
        <v>10000</v>
      </c>
      <c r="X832" s="1379"/>
      <c r="Y832" s="1379"/>
      <c r="Z832" s="1379"/>
      <c r="AA832" s="1379"/>
      <c r="AB832" s="1379"/>
      <c r="AC832" s="137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9">
        <v>12000</v>
      </c>
      <c r="X833" s="1379"/>
      <c r="Y833" s="1379"/>
      <c r="Z833" s="1379"/>
      <c r="AA833" s="1379"/>
      <c r="AB833" s="1379"/>
      <c r="AC833" s="137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9">
        <v>21000</v>
      </c>
      <c r="X834" s="1379"/>
      <c r="Y834" s="1379"/>
      <c r="Z834" s="1379"/>
      <c r="AA834" s="1379"/>
      <c r="AB834" s="1379"/>
      <c r="AC834" s="1379"/>
      <c r="AD834" s="12"/>
      <c r="AE834" s="12"/>
      <c r="AF834" s="12"/>
      <c r="AG834" s="12"/>
      <c r="AH834" s="12"/>
      <c r="AI834" s="12"/>
      <c r="AJ834" s="12"/>
      <c r="AK834" s="12"/>
      <c r="AL834" s="12"/>
      <c r="AM834" s="1407">
        <f>SUM(AM801:AM829)</f>
        <v>7.5000000000000011E-2</v>
      </c>
      <c r="AN834" s="140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5">
        <f>SUM(W831:AC834)</f>
        <v>43000</v>
      </c>
      <c r="X835" s="1405"/>
      <c r="Y835" s="1405"/>
      <c r="Z835" s="1405"/>
      <c r="AA835" s="1405"/>
      <c r="AB835" s="1405"/>
      <c r="AC835" s="1405"/>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0">
        <v>53600</v>
      </c>
      <c r="X837" s="1381"/>
      <c r="Y837" s="1381"/>
      <c r="Z837" s="1381"/>
      <c r="AA837" s="1381"/>
      <c r="AB837" s="1381"/>
      <c r="AC837" s="138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0">
        <f>40000+6592</f>
        <v>46592</v>
      </c>
      <c r="X838" s="1381"/>
      <c r="Y838" s="1381"/>
      <c r="Z838" s="1381"/>
      <c r="AA838" s="1381"/>
      <c r="AB838" s="1381"/>
      <c r="AC838" s="138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23" t="s">
        <v>1775</v>
      </c>
      <c r="N839" s="1162"/>
      <c r="O839" s="1162"/>
      <c r="P839" s="1162"/>
      <c r="Q839" s="1162"/>
      <c r="R839" s="1162"/>
      <c r="S839" s="1162"/>
      <c r="T839" s="1162"/>
      <c r="U839" s="1162"/>
      <c r="V839" s="1163"/>
      <c r="W839" s="1380">
        <v>19000</v>
      </c>
      <c r="X839" s="1381"/>
      <c r="Y839" s="1381"/>
      <c r="Z839" s="1381"/>
      <c r="AA839" s="1381"/>
      <c r="AB839" s="1381"/>
      <c r="AC839" s="138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89">
        <f>SUM(W837:AC839)</f>
        <v>119192</v>
      </c>
      <c r="X840" s="1390"/>
      <c r="Y840" s="1390"/>
      <c r="Z840" s="1390"/>
      <c r="AA840" s="1390"/>
      <c r="AB840" s="1390"/>
      <c r="AC840" s="13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0">
        <v>29700</v>
      </c>
      <c r="X841" s="1381"/>
      <c r="Y841" s="1381"/>
      <c r="Z841" s="1381"/>
      <c r="AA841" s="1381"/>
      <c r="AB841" s="1381"/>
      <c r="AC841" s="138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5">
        <v>4000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5">
        <v>8000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5">
        <v>8000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5">
        <v>2000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5"/>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5"/>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23" t="s">
        <v>1776</v>
      </c>
      <c r="N849" s="1162"/>
      <c r="O849" s="1162"/>
      <c r="P849" s="1162"/>
      <c r="Q849" s="1162"/>
      <c r="R849" s="1162"/>
      <c r="S849" s="1162"/>
      <c r="T849" s="1162"/>
      <c r="U849" s="1162"/>
      <c r="V849" s="1163"/>
      <c r="W849" s="1225">
        <v>3780</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88">
        <f>SUM(W843:AC849)</f>
        <v>25780</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176</v>
      </c>
      <c r="K852" s="77"/>
      <c r="L852" s="77"/>
      <c r="M852" s="1323" t="s">
        <v>1777</v>
      </c>
      <c r="N852" s="1162"/>
      <c r="O852" s="1162"/>
      <c r="P852" s="1162"/>
      <c r="Q852" s="1162"/>
      <c r="R852" s="1162"/>
      <c r="S852" s="1162"/>
      <c r="T852" s="1162"/>
      <c r="U852" s="1162"/>
      <c r="V852" s="1163"/>
      <c r="W852" s="1139">
        <v>70000</v>
      </c>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176</v>
      </c>
      <c r="K853" s="77"/>
      <c r="L853" s="77"/>
      <c r="M853" s="1161" t="s">
        <v>356</v>
      </c>
      <c r="N853" s="1162"/>
      <c r="O853" s="1162"/>
      <c r="P853" s="1162"/>
      <c r="Q853" s="1162"/>
      <c r="R853" s="1162"/>
      <c r="S853" s="1162"/>
      <c r="T853" s="1162"/>
      <c r="U853" s="1162"/>
      <c r="V853" s="1163"/>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1" t="s">
        <v>356</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1" t="s">
        <v>356</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1" t="s">
        <v>356</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6">
        <f>SUM(W852:AC856)</f>
        <v>70000</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6">
        <f>W827+W835+W840+W841+W850+W857+W829</f>
        <v>343000</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5">
        <f>O778+O758+G734</f>
        <v>58</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58">
        <f>IF(ISERROR((ROUNDDOWN(AC861/AC862,0))),0,(ROUNDDOWN(AC861/AC862,0)))</f>
        <v>5913</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7"/>
      <c r="AD864" s="1406"/>
      <c r="AE864" s="1406"/>
      <c r="AF864" s="1406"/>
      <c r="AG864" s="1406"/>
      <c r="AH864" s="140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1">
        <v>1200</v>
      </c>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9">
        <v>10000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20300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v>5000</v>
      </c>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6" t="s">
        <v>1065</v>
      </c>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c r="Z869" s="1387"/>
      <c r="AA869" s="1387"/>
      <c r="AB869" s="1388"/>
      <c r="AC869" s="1225"/>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6" t="s">
        <v>1065</v>
      </c>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c r="Z870" s="1387"/>
      <c r="AA870" s="1387"/>
      <c r="AB870" s="1388"/>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6">
        <f>Z874-(Z875+Z876)</f>
        <v>0</v>
      </c>
      <c r="AA877" s="1207"/>
      <c r="AB877" s="1207"/>
      <c r="AC877" s="1207"/>
      <c r="AD877" s="1207"/>
      <c r="AE877" s="1208"/>
      <c r="AM877" s="61"/>
      <c r="AO877" s="52" t="s">
        <v>179</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4">
        <f>IF(AD958&gt;0,0.05,0)</f>
        <v>0</v>
      </c>
      <c r="AR878" s="140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1"/>
      <c r="AR884" s="1401"/>
      <c r="AS884" s="140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322</v>
      </c>
      <c r="AP885" s="177">
        <v>10</v>
      </c>
      <c r="AQ885" s="1138">
        <f>IF(AD988&gt;0,0.1,0)</f>
        <v>0.1</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7">
        <f>SUM(AQ877:AQ885)</f>
        <v>0.1</v>
      </c>
      <c r="AR886" s="113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0.1</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2" t="s">
        <v>873</v>
      </c>
      <c r="G890" s="1393"/>
      <c r="H890" s="1393"/>
      <c r="I890" s="1393"/>
      <c r="J890" s="1393"/>
      <c r="K890" s="1393"/>
      <c r="L890" s="1393"/>
      <c r="M890" s="1393"/>
      <c r="N890" s="1393"/>
      <c r="O890" s="1393"/>
      <c r="P890" s="1393"/>
      <c r="Q890" s="1393"/>
      <c r="R890" s="1393"/>
      <c r="S890" s="1393"/>
      <c r="T890" s="1394"/>
      <c r="U890" s="1329" t="s">
        <v>34</v>
      </c>
      <c r="V890" s="1330"/>
      <c r="W890" s="1330"/>
      <c r="X890" s="1330"/>
      <c r="Y890" s="1330"/>
      <c r="Z890" s="13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1" t="s">
        <v>902</v>
      </c>
      <c r="G891" s="1332"/>
      <c r="H891" s="1332"/>
      <c r="I891" s="1332"/>
      <c r="J891" s="1332"/>
      <c r="K891" s="1332"/>
      <c r="L891" s="1332"/>
      <c r="M891" s="1332"/>
      <c r="N891" s="1332"/>
      <c r="O891" s="1332"/>
      <c r="P891" s="1332"/>
      <c r="Q891" s="1332"/>
      <c r="R891" s="1332"/>
      <c r="S891" s="1332"/>
      <c r="T891" s="1553"/>
      <c r="U891" s="1331"/>
      <c r="V891" s="1332"/>
      <c r="W891" s="1332"/>
      <c r="X891" s="1332"/>
      <c r="Y891" s="1332"/>
      <c r="Z891" s="133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3"/>
      <c r="G892" s="1334"/>
      <c r="H892" s="1334"/>
      <c r="I892" s="1334"/>
      <c r="J892" s="1334"/>
      <c r="K892" s="1334"/>
      <c r="L892" s="1334"/>
      <c r="M892" s="1334"/>
      <c r="N892" s="1334"/>
      <c r="O892" s="1334"/>
      <c r="P892" s="1334"/>
      <c r="Q892" s="1334"/>
      <c r="R892" s="1334"/>
      <c r="S892" s="1334"/>
      <c r="T892" s="1554"/>
      <c r="U892" s="1333"/>
      <c r="V892" s="1334"/>
      <c r="W892" s="1334"/>
      <c r="X892" s="1334"/>
      <c r="Y892" s="1334"/>
      <c r="Z892" s="1334"/>
      <c r="AA892" s="168"/>
      <c r="AB892" s="1209" t="s">
        <v>423</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1" t="s">
        <v>591</v>
      </c>
      <c r="V893" s="1222"/>
      <c r="W893" s="1222"/>
      <c r="X893" s="1222"/>
      <c r="Y893" s="1222"/>
      <c r="Z893" s="1223"/>
      <c r="AA893" s="1185">
        <v>13004539</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1" t="s">
        <v>591</v>
      </c>
      <c r="V894" s="1222"/>
      <c r="W894" s="1222"/>
      <c r="X894" s="1222"/>
      <c r="Y894" s="1222"/>
      <c r="Z894" s="1223"/>
      <c r="AA894" s="1185">
        <v>3512200</v>
      </c>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1" t="s">
        <v>641</v>
      </c>
      <c r="V895" s="1222"/>
      <c r="W895" s="1222"/>
      <c r="X895" s="1222"/>
      <c r="Y895" s="1222"/>
      <c r="Z895" s="1223"/>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1" t="s">
        <v>641</v>
      </c>
      <c r="V896" s="1222"/>
      <c r="W896" s="1222"/>
      <c r="X896" s="1222"/>
      <c r="Y896" s="1222"/>
      <c r="Z896" s="1223"/>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1" t="s">
        <v>641</v>
      </c>
      <c r="V897" s="1222"/>
      <c r="W897" s="1222"/>
      <c r="X897" s="1222"/>
      <c r="Y897" s="1222"/>
      <c r="Z897" s="1223"/>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1" t="s">
        <v>641</v>
      </c>
      <c r="V898" s="1222"/>
      <c r="W898" s="1222"/>
      <c r="X898" s="1222"/>
      <c r="Y898" s="1222"/>
      <c r="Z898" s="1223"/>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1" t="s">
        <v>641</v>
      </c>
      <c r="V899" s="1222"/>
      <c r="W899" s="1222"/>
      <c r="X899" s="1222"/>
      <c r="Y899" s="1222"/>
      <c r="Z899" s="1223"/>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1" t="s">
        <v>641</v>
      </c>
      <c r="V900" s="1222"/>
      <c r="W900" s="1222"/>
      <c r="X900" s="1222"/>
      <c r="Y900" s="1222"/>
      <c r="Z900" s="1223"/>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1" t="s">
        <v>641</v>
      </c>
      <c r="V901" s="1222"/>
      <c r="W901" s="1222"/>
      <c r="X901" s="1222"/>
      <c r="Y901" s="1222"/>
      <c r="Z901" s="1223"/>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1" t="s">
        <v>641</v>
      </c>
      <c r="V902" s="1222"/>
      <c r="W902" s="1222"/>
      <c r="X902" s="1222"/>
      <c r="Y902" s="1222"/>
      <c r="Z902" s="1223"/>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1" t="s">
        <v>641</v>
      </c>
      <c r="V903" s="1222"/>
      <c r="W903" s="1222"/>
      <c r="X903" s="1222"/>
      <c r="Y903" s="1222"/>
      <c r="Z903" s="1223"/>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1" t="s">
        <v>641</v>
      </c>
      <c r="V904" s="1222"/>
      <c r="W904" s="1222"/>
      <c r="X904" s="1222"/>
      <c r="Y904" s="1222"/>
      <c r="Z904" s="1223"/>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1" t="s">
        <v>641</v>
      </c>
      <c r="V905" s="1222"/>
      <c r="W905" s="1222"/>
      <c r="X905" s="1222"/>
      <c r="Y905" s="1222"/>
      <c r="Z905" s="1223"/>
      <c r="AA905" s="1185"/>
      <c r="AB905" s="1186"/>
      <c r="AC905" s="1186"/>
      <c r="AD905" s="1186"/>
      <c r="AE905" s="1186"/>
      <c r="AF905" s="1187"/>
      <c r="AM905" s="1402">
        <f>G734+O778</f>
        <v>57</v>
      </c>
      <c r="AN905" s="140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1" t="s">
        <v>641</v>
      </c>
      <c r="V906" s="1222"/>
      <c r="W906" s="1222"/>
      <c r="X906" s="1222"/>
      <c r="Y906" s="1222"/>
      <c r="Z906" s="1223"/>
      <c r="AA906" s="1185"/>
      <c r="AB906" s="1186"/>
      <c r="AC906" s="1186"/>
      <c r="AD906" s="1186"/>
      <c r="AE906" s="1186"/>
      <c r="AF906" s="1187"/>
      <c r="AM906" s="52"/>
      <c r="AN906" s="21"/>
      <c r="AO906" s="1376">
        <f>ROUNDDOWN(X999/I999,2)</f>
        <v>0.28999999999999998</v>
      </c>
      <c r="AP906" s="1377"/>
      <c r="AQ906" s="1377"/>
      <c r="AR906" s="137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1" t="s">
        <v>641</v>
      </c>
      <c r="V907" s="1222"/>
      <c r="W907" s="1222"/>
      <c r="X907" s="1222"/>
      <c r="Y907" s="1222"/>
      <c r="Z907" s="1223"/>
      <c r="AA907" s="1185"/>
      <c r="AB907" s="1186"/>
      <c r="AC907" s="1186"/>
      <c r="AD907" s="1186"/>
      <c r="AE907" s="1186"/>
      <c r="AF907" s="1187"/>
      <c r="AM907" s="52"/>
      <c r="AN907" s="52"/>
      <c r="AO907" s="1355">
        <f>ROUNDDOWN(X1003/I1003,2)</f>
        <v>0</v>
      </c>
      <c r="AP907" s="1356"/>
      <c r="AQ907" s="1356"/>
      <c r="AR907" s="135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1" t="s">
        <v>722</v>
      </c>
      <c r="Q908" s="1222"/>
      <c r="R908" s="1222"/>
      <c r="S908" s="1222"/>
      <c r="T908" s="1223"/>
      <c r="U908" s="1221" t="s">
        <v>641</v>
      </c>
      <c r="V908" s="1222"/>
      <c r="W908" s="1222"/>
      <c r="X908" s="1222"/>
      <c r="Y908" s="1222"/>
      <c r="Z908" s="1223"/>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3" t="s">
        <v>356</v>
      </c>
      <c r="J909" s="1384"/>
      <c r="K909" s="1384"/>
      <c r="L909" s="1384"/>
      <c r="M909" s="1384"/>
      <c r="N909" s="1384"/>
      <c r="O909" s="1384"/>
      <c r="P909" s="1384"/>
      <c r="Q909" s="1384"/>
      <c r="R909" s="1384"/>
      <c r="S909" s="1384"/>
      <c r="T909" s="1385"/>
      <c r="U909" s="1221" t="s">
        <v>641</v>
      </c>
      <c r="V909" s="1222"/>
      <c r="W909" s="1222"/>
      <c r="X909" s="1222"/>
      <c r="Y909" s="1222"/>
      <c r="Z909" s="1223"/>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0" t="s">
        <v>356</v>
      </c>
      <c r="J910" s="1151"/>
      <c r="K910" s="1151"/>
      <c r="L910" s="1151"/>
      <c r="M910" s="1151"/>
      <c r="N910" s="1151"/>
      <c r="O910" s="1151"/>
      <c r="P910" s="1151"/>
      <c r="Q910" s="1151"/>
      <c r="R910" s="1151"/>
      <c r="S910" s="1151"/>
      <c r="T910" s="1152"/>
      <c r="U910" s="1221" t="s">
        <v>641</v>
      </c>
      <c r="V910" s="1222"/>
      <c r="W910" s="1222"/>
      <c r="X910" s="1222"/>
      <c r="Y910" s="1222"/>
      <c r="Z910" s="1223"/>
      <c r="AA910" s="1185"/>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50" t="s">
        <v>356</v>
      </c>
      <c r="J911" s="1151"/>
      <c r="K911" s="1151"/>
      <c r="L911" s="1151"/>
      <c r="M911" s="1151"/>
      <c r="N911" s="1151"/>
      <c r="O911" s="1151"/>
      <c r="P911" s="1151"/>
      <c r="Q911" s="1151"/>
      <c r="R911" s="1151"/>
      <c r="S911" s="1151"/>
      <c r="T911" s="1152"/>
      <c r="U911" s="1221" t="s">
        <v>641</v>
      </c>
      <c r="V911" s="1222"/>
      <c r="W911" s="1222"/>
      <c r="X911" s="1222"/>
      <c r="Y911" s="1222"/>
      <c r="Z911" s="1223"/>
      <c r="AA911" s="1185"/>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0" t="s">
        <v>356</v>
      </c>
      <c r="J912" s="1151"/>
      <c r="K912" s="1151"/>
      <c r="L912" s="1151"/>
      <c r="M912" s="1151"/>
      <c r="N912" s="1151"/>
      <c r="O912" s="1151"/>
      <c r="P912" s="1151"/>
      <c r="Q912" s="1151"/>
      <c r="R912" s="1151"/>
      <c r="S912" s="1151"/>
      <c r="T912" s="1152"/>
      <c r="U912" s="1221" t="s">
        <v>641</v>
      </c>
      <c r="V912" s="1222"/>
      <c r="W912" s="1222"/>
      <c r="X912" s="1222"/>
      <c r="Y912" s="1222"/>
      <c r="Z912" s="1223"/>
      <c r="AA912" s="1185"/>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c r="N917" s="1211"/>
      <c r="O917" s="1211"/>
      <c r="P917" s="1211"/>
      <c r="Q917" s="1211"/>
      <c r="R917" s="1211"/>
      <c r="S917" s="1266"/>
      <c r="U917" s="103" t="s">
        <v>11</v>
      </c>
      <c r="V917" s="77"/>
      <c r="W917" s="77"/>
      <c r="X917" s="77"/>
      <c r="Y917" s="77"/>
      <c r="Z917" s="77"/>
      <c r="AA917" s="77"/>
      <c r="AB917" s="77"/>
      <c r="AC917" s="77"/>
      <c r="AD917" s="78"/>
      <c r="AE917" s="1265"/>
      <c r="AF917" s="1211"/>
      <c r="AG917" s="1211"/>
      <c r="AH917" s="1211"/>
      <c r="AI917" s="1211"/>
      <c r="AJ917" s="1211"/>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c r="N918" s="1347"/>
      <c r="O918" s="1347"/>
      <c r="P918" s="1347"/>
      <c r="Q918" s="1347"/>
      <c r="R918" s="1347"/>
      <c r="S918" s="1348"/>
      <c r="U918" s="103" t="s">
        <v>12</v>
      </c>
      <c r="V918" s="77"/>
      <c r="W918" s="77"/>
      <c r="X918" s="77"/>
      <c r="Y918" s="77"/>
      <c r="Z918" s="77"/>
      <c r="AA918" s="77"/>
      <c r="AB918" s="77"/>
      <c r="AC918" s="77"/>
      <c r="AD918" s="78"/>
      <c r="AE918" s="1346"/>
      <c r="AF918" s="1347"/>
      <c r="AG918" s="1347"/>
      <c r="AH918" s="1347"/>
      <c r="AI918" s="1347"/>
      <c r="AJ918" s="1347"/>
      <c r="AK918" s="134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9" t="s">
        <v>328</v>
      </c>
      <c r="K919" s="1370"/>
      <c r="L919" s="1370"/>
      <c r="M919" s="1370"/>
      <c r="N919" s="1370"/>
      <c r="O919" s="1370"/>
      <c r="P919" s="1370"/>
      <c r="Q919" s="1370"/>
      <c r="R919" s="1370"/>
      <c r="S919" s="1371"/>
      <c r="U919" s="103" t="s">
        <v>974</v>
      </c>
      <c r="V919" s="77"/>
      <c r="W919" s="77"/>
      <c r="AB919" s="1369" t="s">
        <v>328</v>
      </c>
      <c r="AC919" s="1370"/>
      <c r="AD919" s="1370"/>
      <c r="AE919" s="1370"/>
      <c r="AF919" s="1370"/>
      <c r="AG919" s="1370"/>
      <c r="AH919" s="1370"/>
      <c r="AI919" s="1370"/>
      <c r="AJ919" s="1370"/>
      <c r="AK919" s="137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2"/>
      <c r="N920" s="1359"/>
      <c r="O920" s="1359"/>
      <c r="P920" s="1359"/>
      <c r="Q920" s="1359"/>
      <c r="R920" s="1359"/>
      <c r="S920" s="1360"/>
      <c r="U920" s="103" t="s">
        <v>13</v>
      </c>
      <c r="V920" s="77"/>
      <c r="W920" s="77"/>
      <c r="X920" s="77"/>
      <c r="Y920" s="77"/>
      <c r="Z920" s="77"/>
      <c r="AA920" s="77"/>
      <c r="AB920" s="77"/>
      <c r="AC920" s="77"/>
      <c r="AD920" s="78"/>
      <c r="AE920" s="1358"/>
      <c r="AF920" s="1359"/>
      <c r="AG920" s="1359"/>
      <c r="AH920" s="1359"/>
      <c r="AI920" s="1359"/>
      <c r="AJ920" s="1359"/>
      <c r="AK920" s="136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1"/>
      <c r="N924" s="1342"/>
      <c r="O924" s="1342"/>
      <c r="P924" s="1342"/>
      <c r="Q924" s="1342"/>
      <c r="R924" s="1342"/>
      <c r="S924" s="1343"/>
      <c r="U924" s="103" t="s">
        <v>620</v>
      </c>
      <c r="V924" s="77"/>
      <c r="W924" s="77"/>
      <c r="X924" s="77"/>
      <c r="Y924" s="77"/>
      <c r="Z924" s="77"/>
      <c r="AA924" s="77"/>
      <c r="AB924" s="77"/>
      <c r="AC924" s="77"/>
      <c r="AD924" s="78"/>
      <c r="AE924" s="1341"/>
      <c r="AF924" s="1342"/>
      <c r="AG924" s="1342"/>
      <c r="AH924" s="1342"/>
      <c r="AI924" s="1342"/>
      <c r="AJ924" s="1342"/>
      <c r="AK924" s="134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2"/>
      <c r="N929" s="1203"/>
      <c r="O929" s="1203"/>
      <c r="P929" s="1203"/>
      <c r="Q929" s="1203"/>
      <c r="R929" s="1203"/>
      <c r="S929" s="1204"/>
      <c r="T929" s="103" t="s">
        <v>871</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2"/>
      <c r="N930" s="1203"/>
      <c r="O930" s="1203"/>
      <c r="P930" s="1203"/>
      <c r="Q930" s="1203"/>
      <c r="R930" s="1203"/>
      <c r="S930" s="1204"/>
      <c r="T930" s="103" t="s">
        <v>870</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3" t="s">
        <v>641</v>
      </c>
      <c r="N931" s="1364"/>
      <c r="O931" s="1364"/>
      <c r="P931" s="1364"/>
      <c r="Q931" s="1364"/>
      <c r="R931" s="1364"/>
      <c r="S931" s="1365"/>
      <c r="T931" s="76" t="s">
        <v>359</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2"/>
      <c r="N932" s="1203"/>
      <c r="O932" s="1203"/>
      <c r="P932" s="1203"/>
      <c r="Q932" s="1203"/>
      <c r="R932" s="1203"/>
      <c r="S932" s="1204"/>
      <c r="T932" s="76" t="s">
        <v>360</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2"/>
      <c r="N933" s="1203"/>
      <c r="O933" s="1203"/>
      <c r="P933" s="1203"/>
      <c r="Q933" s="1203"/>
      <c r="R933" s="1203"/>
      <c r="S933" s="1204"/>
      <c r="T933" s="76" t="s">
        <v>407</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2" t="s">
        <v>328</v>
      </c>
      <c r="N934" s="1353"/>
      <c r="O934" s="1353"/>
      <c r="P934" s="1353"/>
      <c r="Q934" s="1353"/>
      <c r="R934" s="1353"/>
      <c r="S934" s="1354"/>
      <c r="T934" s="1324"/>
      <c r="U934" s="1325"/>
      <c r="V934" s="1325"/>
      <c r="W934" s="1325"/>
      <c r="X934" s="1325"/>
      <c r="Y934" s="1325"/>
      <c r="Z934" s="1326"/>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2"/>
      <c r="N935" s="1203"/>
      <c r="O935" s="1203"/>
      <c r="P935" s="1203"/>
      <c r="Q935" s="1203"/>
      <c r="R935" s="1203"/>
      <c r="S935" s="1204"/>
      <c r="T935" s="1324"/>
      <c r="U935" s="1325"/>
      <c r="V935" s="1325"/>
      <c r="W935" s="1325"/>
      <c r="X935" s="1325"/>
      <c r="Y935" s="1325"/>
      <c r="Z935" s="1326"/>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3" t="s">
        <v>722</v>
      </c>
      <c r="P936" s="1294"/>
      <c r="Q936" s="142"/>
      <c r="R936" s="142"/>
      <c r="S936" s="143"/>
      <c r="T936" s="71" t="s">
        <v>176</v>
      </c>
      <c r="U936" s="72"/>
      <c r="V936" s="72"/>
      <c r="W936" s="1161" t="s">
        <v>356</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2"/>
      <c r="N937" s="1203"/>
      <c r="O937" s="1203"/>
      <c r="P937" s="1203"/>
      <c r="Q937" s="1203"/>
      <c r="R937" s="1203"/>
      <c r="S937" s="1204"/>
      <c r="T937" s="79"/>
      <c r="U937" s="80"/>
      <c r="V937" s="80"/>
      <c r="W937" s="80"/>
      <c r="X937" s="80"/>
      <c r="Y937" s="80"/>
      <c r="Z937" s="196" t="s">
        <v>141</v>
      </c>
      <c r="AA937" s="1398"/>
      <c r="AB937" s="1399"/>
      <c r="AC937" s="1399"/>
      <c r="AD937" s="1399"/>
      <c r="AE937" s="1399"/>
      <c r="AF937" s="1399"/>
      <c r="AG937" s="140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594</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1" t="s">
        <v>688</v>
      </c>
      <c r="C946" s="1361"/>
      <c r="D946" s="1361"/>
      <c r="E946" s="1361"/>
      <c r="F946" s="1361"/>
      <c r="G946" s="1361"/>
      <c r="H946" s="1361"/>
      <c r="I946" s="1361"/>
      <c r="J946" s="1361"/>
      <c r="K946" s="1361"/>
      <c r="L946" s="1361" t="s">
        <v>689</v>
      </c>
      <c r="M946" s="1361"/>
      <c r="N946" s="1361"/>
      <c r="O946" s="1361"/>
      <c r="P946" s="1361"/>
      <c r="Q946" s="1361"/>
      <c r="R946" s="1361"/>
      <c r="S946" s="1361"/>
      <c r="T946" s="1361"/>
      <c r="U946" s="1361"/>
      <c r="V946" s="1361" t="s">
        <v>690</v>
      </c>
      <c r="W946" s="1361"/>
      <c r="X946" s="1361"/>
      <c r="Y946" s="1361"/>
      <c r="Z946" s="1361"/>
      <c r="AA946" s="1361"/>
      <c r="AB946" s="1361"/>
      <c r="AC946" s="1361"/>
      <c r="AD946" s="1372" t="s">
        <v>691</v>
      </c>
      <c r="AE946" s="1373"/>
      <c r="AF946" s="1373"/>
      <c r="AG946" s="1373"/>
      <c r="AH946" s="1373"/>
      <c r="AI946" s="1373"/>
      <c r="AJ946" s="1373"/>
      <c r="AK946" s="137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683</v>
      </c>
      <c r="C947" s="1201"/>
      <c r="D947" s="1201"/>
      <c r="E947" s="1201"/>
      <c r="F947" s="1201"/>
      <c r="G947" s="1201"/>
      <c r="H947" s="1201"/>
      <c r="I947" s="1201"/>
      <c r="J947" s="1201"/>
      <c r="K947" s="1201"/>
      <c r="L947" s="1338">
        <f>IF(ISNA(IF($BA$779="4%",(INDEX($BC$789:$BG$846,MATCH($BO$779,$BB$789:$BB$846,0),MATCH(B947,$BC$788:$BG$788,0))),(INDEX($BJ$789:$BN$846,MATCH($BO$779,$BI$789:$BI$846,0),MATCH(B947,$BJ$788:$BN$788,0))))),0,IF($BA$779="4%",(INDEX($BC$789:$BG$846,MATCH($BO$779,$BB$789:$BB$846,0),MATCH(B947,$BC$788:$BG$788,0))),(INDEX($BJ$789:$BN$846,MATCH($BO$779,$BI$789:$BI$846,0),MATCH(B947,$BJ$788:$BN$788,0)))))</f>
        <v>261141</v>
      </c>
      <c r="M947" s="1339"/>
      <c r="N947" s="1339"/>
      <c r="O947" s="1339"/>
      <c r="P947" s="1339"/>
      <c r="Q947" s="1339"/>
      <c r="R947" s="1339"/>
      <c r="S947" s="1339"/>
      <c r="T947" s="1339"/>
      <c r="U947" s="1340"/>
      <c r="V947" s="1368">
        <f>BA635</f>
        <v>0</v>
      </c>
      <c r="W947" s="1368"/>
      <c r="X947" s="1368"/>
      <c r="Y947" s="1368"/>
      <c r="Z947" s="1368"/>
      <c r="AA947" s="1368"/>
      <c r="AB947" s="1368"/>
      <c r="AC947" s="1368"/>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347</v>
      </c>
      <c r="C948" s="1200"/>
      <c r="D948" s="1200"/>
      <c r="E948" s="1200"/>
      <c r="F948" s="1200"/>
      <c r="G948" s="1200"/>
      <c r="H948" s="1200"/>
      <c r="I948" s="1200"/>
      <c r="J948" s="1200"/>
      <c r="K948" s="1200"/>
      <c r="L948" s="1338">
        <f>IF(ISNA(IF($BA$779="4%",(INDEX($BC$789:$BG$846,MATCH($BO$779,$BB$789:$BB$846,0),MATCH(B948,$BC$788:$BG$788,0))),(INDEX($BJ$789:$BN$846,MATCH($BO$779,$BI$789:$BI$846,0),MATCH(B948,$BJ$788:$BN$788,0))))),0,IF($BA$779="4%",(INDEX($BC$789:$BG$846,MATCH($BO$779,$BB$789:$BB$846,0),MATCH(B948,$BC$788:$BG$788,0))),(INDEX($BJ$789:$BN$846,MATCH($BO$779,$BI$789:$BI$846,0),MATCH(B948,$BJ$788:$BN$788,0)))))</f>
        <v>301093</v>
      </c>
      <c r="M948" s="1339"/>
      <c r="N948" s="1339"/>
      <c r="O948" s="1339"/>
      <c r="P948" s="1339"/>
      <c r="Q948" s="1339"/>
      <c r="R948" s="1339"/>
      <c r="S948" s="1339"/>
      <c r="T948" s="1339"/>
      <c r="U948" s="1340"/>
      <c r="V948" s="1368">
        <f>BF635</f>
        <v>58</v>
      </c>
      <c r="W948" s="1368"/>
      <c r="X948" s="1368"/>
      <c r="Y948" s="1368"/>
      <c r="Z948" s="1368"/>
      <c r="AA948" s="1368"/>
      <c r="AB948" s="1368"/>
      <c r="AC948" s="1368"/>
      <c r="AD948" s="1281">
        <f>IF(ISERROR((L948*V948)),0,(L948*V948))</f>
        <v>17463394</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8">
        <f>IF(ISNA(IF($BA$779="4%",(INDEX($BC$789:$BG$846,MATCH($BO$779,$BB$789:$BB$846,0),MATCH(B949,$BC$788:$BG$788,0))),(INDEX($BJ$789:$BN$846,MATCH($BO$779,$BI$789:$BI$846,0),MATCH(B949,$BJ$788:$BN$788,0))))),0,IF($BA$779="4%",(INDEX($BC$789:$BG$846,MATCH($BO$779,$BB$789:$BB$846,0),MATCH(B949,$BC$788:$BG$788,0))),(INDEX($BJ$789:$BN$846,MATCH($BO$779,$BI$789:$BI$846,0),MATCH(B949,$BJ$788:$BN$788,0)))))</f>
        <v>363200</v>
      </c>
      <c r="M949" s="1339"/>
      <c r="N949" s="1339"/>
      <c r="O949" s="1339"/>
      <c r="P949" s="1339"/>
      <c r="Q949" s="1339"/>
      <c r="R949" s="1339"/>
      <c r="S949" s="1339"/>
      <c r="T949" s="1339"/>
      <c r="U949" s="1340"/>
      <c r="V949" s="1368">
        <f>BK635</f>
        <v>0</v>
      </c>
      <c r="W949" s="1368"/>
      <c r="X949" s="1368"/>
      <c r="Y949" s="1368"/>
      <c r="Z949" s="1368"/>
      <c r="AA949" s="1368"/>
      <c r="AB949" s="1368"/>
      <c r="AC949" s="1368"/>
      <c r="AD949" s="1281">
        <f>IF(ISERROR((L949*V949)),0,(L949*V949))</f>
        <v>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8">
        <f>IF(ISNA(IF($BA$779="4%",(INDEX($BC$789:$BG$846,MATCH($BO$779,$BB$789:$BB$846,0),MATCH(B950,$BC$788:$BG$788,0))),(INDEX($BJ$789:$BN$846,MATCH($BO$779,$BI$789:$BI$846,0),MATCH(B950,$BJ$788:$BN$788,0))))),0,IF($BA$779="4%",(INDEX($BC$789:$BG$846,MATCH($BO$779,$BB$789:$BB$846,0),MATCH(B950,$BC$788:$BG$788,0))),(INDEX($BJ$789:$BN$846,MATCH($BO$779,$BI$789:$BI$846,0),MATCH(B950,$BJ$788:$BN$788,0)))))</f>
        <v>464896</v>
      </c>
      <c r="M950" s="1339"/>
      <c r="N950" s="1339"/>
      <c r="O950" s="1339"/>
      <c r="P950" s="1339"/>
      <c r="Q950" s="1339"/>
      <c r="R950" s="1339"/>
      <c r="S950" s="1339"/>
      <c r="T950" s="1339"/>
      <c r="U950" s="1340"/>
      <c r="V950" s="1368">
        <f>BP635</f>
        <v>0</v>
      </c>
      <c r="W950" s="1368"/>
      <c r="X950" s="1368"/>
      <c r="Y950" s="1368"/>
      <c r="Z950" s="1368"/>
      <c r="AA950" s="1368"/>
      <c r="AB950" s="1368"/>
      <c r="AC950" s="1368"/>
      <c r="AD950" s="1281">
        <f>IF(ISERROR((L950*V950)),0,(L950*V950))</f>
        <v>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0" t="s">
        <v>506</v>
      </c>
      <c r="C951" s="1200"/>
      <c r="D951" s="1200"/>
      <c r="E951" s="1200"/>
      <c r="F951" s="1200"/>
      <c r="G951" s="1200"/>
      <c r="H951" s="1200"/>
      <c r="I951" s="1200"/>
      <c r="J951" s="1200"/>
      <c r="K951" s="1200"/>
      <c r="L951" s="1338">
        <f>IF(ISNA(IF($BA$779="4%",(INDEX($BC$789:$BG$846,MATCH($BO$779,$BB$789:$BB$846,0),MATCH(B951,$BC$788:$BG$788,0))),(INDEX($BJ$789:$BN$846,MATCH($BO$779,$BI$789:$BI$846,0),MATCH(B951,$BJ$788:$BN$788,0))))),0,IF($BA$779="4%",(INDEX($BC$789:$BG$846,MATCH($BO$779,$BB$789:$BB$846,0),MATCH(B951,$BC$788:$BG$788,0))),(INDEX($BJ$789:$BN$846,MATCH($BO$779,$BI$789:$BI$846,0),MATCH(B951,$BJ$788:$BN$788,0)))))</f>
        <v>517923</v>
      </c>
      <c r="M951" s="1339"/>
      <c r="N951" s="1339"/>
      <c r="O951" s="1339"/>
      <c r="P951" s="1339"/>
      <c r="Q951" s="1339"/>
      <c r="R951" s="1339"/>
      <c r="S951" s="1339"/>
      <c r="T951" s="1339"/>
      <c r="U951" s="1340"/>
      <c r="V951" s="1368">
        <f>BZ635+BU635</f>
        <v>0</v>
      </c>
      <c r="W951" s="1368"/>
      <c r="X951" s="1368"/>
      <c r="Y951" s="1368"/>
      <c r="Z951" s="1368"/>
      <c r="AA951" s="1368"/>
      <c r="AB951" s="1368"/>
      <c r="AC951" s="1368"/>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872</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5">
        <f>SUM(V947:AC951)</f>
        <v>58</v>
      </c>
      <c r="W952" s="1396"/>
      <c r="X952" s="1396"/>
      <c r="Y952" s="1396"/>
      <c r="Z952" s="1396"/>
      <c r="AA952" s="1396"/>
      <c r="AB952" s="1396"/>
      <c r="AC952" s="1397"/>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5" t="s">
        <v>558</v>
      </c>
      <c r="C953" s="1336"/>
      <c r="D953" s="1336"/>
      <c r="E953" s="1336"/>
      <c r="F953" s="1336"/>
      <c r="G953" s="1336"/>
      <c r="H953" s="1336"/>
      <c r="I953" s="1336"/>
      <c r="J953" s="1336"/>
      <c r="K953" s="1336"/>
      <c r="L953" s="1336"/>
      <c r="M953" s="1336"/>
      <c r="N953" s="1336"/>
      <c r="O953" s="1336"/>
      <c r="P953" s="1336"/>
      <c r="Q953" s="1336"/>
      <c r="R953" s="1336"/>
      <c r="S953" s="1336"/>
      <c r="T953" s="1336"/>
      <c r="U953" s="1336"/>
      <c r="V953" s="1336"/>
      <c r="W953" s="1336"/>
      <c r="X953" s="1336"/>
      <c r="Y953" s="1336"/>
      <c r="Z953" s="1336"/>
      <c r="AA953" s="1336"/>
      <c r="AB953" s="1336"/>
      <c r="AC953" s="1337"/>
      <c r="AD953" s="1262">
        <f>SUM(AD947:AK951)</f>
        <v>17463394</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46" t="s">
        <v>1483</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6" t="s">
        <v>722</v>
      </c>
      <c r="AB955" s="1367"/>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80" t="s">
        <v>1484</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79"/>
      <c r="AE956" s="1179"/>
      <c r="AF956" s="1179"/>
      <c r="AG956" s="1179"/>
      <c r="AH956" s="1179"/>
      <c r="AI956" s="1179"/>
      <c r="AJ956" s="1179"/>
      <c r="AK956" s="118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49"/>
      <c r="E957" s="1350"/>
      <c r="F957" s="1350"/>
      <c r="G957" s="1350"/>
      <c r="H957" s="1350"/>
      <c r="I957" s="1350"/>
      <c r="J957" s="1350"/>
      <c r="K957" s="1350"/>
      <c r="L957" s="1350"/>
      <c r="M957" s="1350"/>
      <c r="N957" s="1350"/>
      <c r="O957" s="1350"/>
      <c r="P957" s="1350"/>
      <c r="Q957" s="1350"/>
      <c r="R957" s="1350"/>
      <c r="S957" s="1350"/>
      <c r="T957" s="1350"/>
      <c r="U957" s="1350"/>
      <c r="V957" s="1350"/>
      <c r="W957" s="1350"/>
      <c r="X957" s="1350"/>
      <c r="Y957" s="1351"/>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1610</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3" t="s">
        <v>722</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9" t="s">
        <v>1607</v>
      </c>
      <c r="E959" s="1590"/>
      <c r="F959" s="1590"/>
      <c r="G959" s="1590"/>
      <c r="H959" s="1590"/>
      <c r="I959" s="1590"/>
      <c r="J959" s="1590"/>
      <c r="K959" s="1590"/>
      <c r="L959" s="1590"/>
      <c r="M959" s="1590"/>
      <c r="N959" s="1590"/>
      <c r="O959" s="1590"/>
      <c r="P959" s="1590"/>
      <c r="Q959" s="1590"/>
      <c r="R959" s="1590"/>
      <c r="S959" s="1590"/>
      <c r="T959" s="1590"/>
      <c r="U959" s="1590"/>
      <c r="V959" s="1590"/>
      <c r="W959" s="1590"/>
      <c r="X959" s="1590"/>
      <c r="Y959" s="1591"/>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9"/>
      <c r="E960" s="1590"/>
      <c r="F960" s="1590"/>
      <c r="G960" s="1590"/>
      <c r="H960" s="1590"/>
      <c r="I960" s="1590"/>
      <c r="J960" s="1590"/>
      <c r="K960" s="1590"/>
      <c r="L960" s="1590"/>
      <c r="M960" s="1590"/>
      <c r="N960" s="1590"/>
      <c r="O960" s="1590"/>
      <c r="P960" s="1590"/>
      <c r="Q960" s="1590"/>
      <c r="R960" s="1590"/>
      <c r="S960" s="1590"/>
      <c r="T960" s="1590"/>
      <c r="U960" s="1590"/>
      <c r="V960" s="1590"/>
      <c r="W960" s="1590"/>
      <c r="X960" s="1590"/>
      <c r="Y960" s="1591"/>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9"/>
      <c r="E961" s="1590"/>
      <c r="F961" s="1590"/>
      <c r="G961" s="1590"/>
      <c r="H961" s="1590"/>
      <c r="I961" s="1590"/>
      <c r="J961" s="1590"/>
      <c r="K961" s="1590"/>
      <c r="L961" s="1590"/>
      <c r="M961" s="1590"/>
      <c r="N961" s="1590"/>
      <c r="O961" s="1590"/>
      <c r="P961" s="1590"/>
      <c r="Q961" s="1590"/>
      <c r="R961" s="1590"/>
      <c r="S961" s="1590"/>
      <c r="T961" s="1590"/>
      <c r="U961" s="1590"/>
      <c r="V961" s="1590"/>
      <c r="W961" s="1590"/>
      <c r="X961" s="1590"/>
      <c r="Y961" s="1591"/>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9"/>
      <c r="E962" s="1590"/>
      <c r="F962" s="1590"/>
      <c r="G962" s="1590"/>
      <c r="H962" s="1590"/>
      <c r="I962" s="1590"/>
      <c r="J962" s="1590"/>
      <c r="K962" s="1590"/>
      <c r="L962" s="1590"/>
      <c r="M962" s="1590"/>
      <c r="N962" s="1590"/>
      <c r="O962" s="1590"/>
      <c r="P962" s="1590"/>
      <c r="Q962" s="1590"/>
      <c r="R962" s="1590"/>
      <c r="S962" s="1590"/>
      <c r="T962" s="1590"/>
      <c r="U962" s="1590"/>
      <c r="V962" s="1590"/>
      <c r="W962" s="1590"/>
      <c r="X962" s="1590"/>
      <c r="Y962" s="1591"/>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9"/>
      <c r="E963" s="1590"/>
      <c r="F963" s="1590"/>
      <c r="G963" s="1590"/>
      <c r="H963" s="1590"/>
      <c r="I963" s="1590"/>
      <c r="J963" s="1590"/>
      <c r="K963" s="1590"/>
      <c r="L963" s="1590"/>
      <c r="M963" s="1590"/>
      <c r="N963" s="1590"/>
      <c r="O963" s="1590"/>
      <c r="P963" s="1590"/>
      <c r="Q963" s="1590"/>
      <c r="R963" s="1590"/>
      <c r="S963" s="1590"/>
      <c r="T963" s="1590"/>
      <c r="U963" s="1590"/>
      <c r="V963" s="1590"/>
      <c r="W963" s="1590"/>
      <c r="X963" s="1590"/>
      <c r="Y963" s="1591"/>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92"/>
      <c r="F964" s="1592"/>
      <c r="G964" s="1592"/>
      <c r="H964" s="1592"/>
      <c r="I964" s="1592"/>
      <c r="J964" s="1592"/>
      <c r="K964" s="1592"/>
      <c r="L964" s="1592"/>
      <c r="M964" s="1592"/>
      <c r="N964" s="1592"/>
      <c r="O964" s="1592"/>
      <c r="P964" s="1592"/>
      <c r="Q964" s="1592"/>
      <c r="R964" s="1592"/>
      <c r="S964" s="1592"/>
      <c r="T964" s="1592"/>
      <c r="U964" s="1592"/>
      <c r="V964" s="1592"/>
      <c r="W964" s="1592"/>
      <c r="X964" s="1592"/>
      <c r="Y964" s="1593"/>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6" t="s">
        <v>1609</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3" t="s">
        <v>722</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1608</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226</v>
      </c>
      <c r="D969" s="1246" t="s">
        <v>1611</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722</v>
      </c>
      <c r="AB969" s="1239"/>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49" t="s">
        <v>1612</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229</v>
      </c>
      <c r="D971" s="1246" t="s">
        <v>1613</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3" t="s">
        <v>722</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3" t="s">
        <v>1614</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232</v>
      </c>
      <c r="D974" s="1246" t="s">
        <v>1615</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3" t="s">
        <v>722</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3" t="s">
        <v>1616</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8"/>
      <c r="AE976" s="1179"/>
      <c r="AF976" s="1179"/>
      <c r="AG976" s="1179"/>
      <c r="AH976" s="1179"/>
      <c r="AI976" s="1179"/>
      <c r="AJ976" s="1179"/>
      <c r="AK976" s="1180"/>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237</v>
      </c>
      <c r="D978" s="1594" t="s">
        <v>1617</v>
      </c>
      <c r="E978" s="1595"/>
      <c r="F978" s="1595"/>
      <c r="G978" s="1595"/>
      <c r="H978" s="1595"/>
      <c r="I978" s="1595"/>
      <c r="J978" s="1595"/>
      <c r="K978" s="1595"/>
      <c r="L978" s="1595"/>
      <c r="M978" s="1595"/>
      <c r="N978" s="1595"/>
      <c r="O978" s="1595"/>
      <c r="P978" s="1595"/>
      <c r="Q978" s="1595"/>
      <c r="R978" s="1595"/>
      <c r="S978" s="1595"/>
      <c r="T978" s="1595"/>
      <c r="U978" s="1595"/>
      <c r="V978" s="1595"/>
      <c r="W978" s="1595"/>
      <c r="X978" s="1595"/>
      <c r="Y978" s="1596"/>
      <c r="Z978" s="115"/>
      <c r="AA978" s="1238" t="s">
        <v>722</v>
      </c>
      <c r="AB978" s="1239"/>
      <c r="AC978" s="51"/>
      <c r="AD978" s="1284"/>
      <c r="AE978" s="1285"/>
      <c r="AF978" s="1285"/>
      <c r="AG978" s="1285"/>
      <c r="AH978" s="1285"/>
      <c r="AI978" s="1285"/>
      <c r="AJ978" s="1285"/>
      <c r="AK978" s="1286"/>
      <c r="AL978" s="105"/>
    </row>
    <row r="979" spans="1:38" ht="12.75" customHeight="1">
      <c r="A979" s="51"/>
      <c r="B979" s="122"/>
      <c r="C979" s="125"/>
      <c r="D979" s="1597"/>
      <c r="E979" s="1598"/>
      <c r="F979" s="1598"/>
      <c r="G979" s="1598"/>
      <c r="H979" s="1598"/>
      <c r="I979" s="1598"/>
      <c r="J979" s="1598"/>
      <c r="K979" s="1598"/>
      <c r="L979" s="1598"/>
      <c r="M979" s="1598"/>
      <c r="N979" s="1598"/>
      <c r="O979" s="1598"/>
      <c r="P979" s="1598"/>
      <c r="Q979" s="1598"/>
      <c r="R979" s="1598"/>
      <c r="S979" s="1598"/>
      <c r="T979" s="1598"/>
      <c r="U979" s="1598"/>
      <c r="V979" s="1598"/>
      <c r="W979" s="1598"/>
      <c r="X979" s="1598"/>
      <c r="Y979" s="1599"/>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3" t="s">
        <v>1618</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382</v>
      </c>
      <c r="E983" s="136"/>
      <c r="F983" s="136"/>
      <c r="G983" s="163"/>
      <c r="H983" s="7"/>
      <c r="J983" s="1303" t="s">
        <v>641</v>
      </c>
      <c r="K983" s="1304"/>
      <c r="L983" s="1304"/>
      <c r="M983" s="1304"/>
      <c r="N983" s="1304"/>
      <c r="O983" s="1304"/>
      <c r="P983" s="1304"/>
      <c r="Q983" s="1305"/>
      <c r="R983" s="7"/>
      <c r="S983" s="7"/>
      <c r="T983" s="164"/>
      <c r="U983" s="7"/>
      <c r="V983" s="1344" t="str">
        <f>IF(AA978="yes",(AD953*0.15),"")</f>
        <v/>
      </c>
      <c r="W983" s="1344"/>
      <c r="X983" s="1344"/>
      <c r="Y983" s="1345"/>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243</v>
      </c>
      <c r="D984" s="1246" t="s">
        <v>1619</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722</v>
      </c>
      <c r="AB984" s="1239"/>
      <c r="AC984" s="51"/>
      <c r="AD984" s="1284"/>
      <c r="AE984" s="1285"/>
      <c r="AF984" s="1285"/>
      <c r="AG984" s="1285"/>
      <c r="AH984" s="1285"/>
      <c r="AI984" s="1285"/>
      <c r="AJ984" s="1285"/>
      <c r="AK984" s="1286"/>
      <c r="AL984" s="105"/>
    </row>
    <row r="985" spans="1:38" ht="12.75" customHeight="1">
      <c r="A985" s="51"/>
      <c r="B985" s="113"/>
      <c r="C985" s="114"/>
      <c r="D985" s="1243" t="s">
        <v>1620</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248</v>
      </c>
      <c r="D988" s="1246" t="s">
        <v>1621</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3" t="s">
        <v>591</v>
      </c>
      <c r="AB988" s="1174"/>
      <c r="AC988" s="127"/>
      <c r="AD988" s="1175">
        <f>ROUND(IF(AA988="yes",(AD953*0.1),0),0)</f>
        <v>1746339</v>
      </c>
      <c r="AE988" s="1176"/>
      <c r="AF988" s="1176"/>
      <c r="AG988" s="1176"/>
      <c r="AH988" s="1176"/>
      <c r="AI988" s="1176"/>
      <c r="AJ988" s="1176"/>
      <c r="AK988" s="1177"/>
      <c r="AL988" s="105"/>
    </row>
    <row r="989" spans="1:38" s="743" customFormat="1" ht="12.75" customHeight="1">
      <c r="A989" s="51"/>
      <c r="B989" s="113"/>
      <c r="C989" s="114"/>
      <c r="D989" s="1243" t="s">
        <v>1622</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8"/>
      <c r="AE989" s="1179"/>
      <c r="AF989" s="1179"/>
      <c r="AG989" s="1179"/>
      <c r="AH989" s="1179"/>
      <c r="AI989" s="1179"/>
      <c r="AJ989" s="1179"/>
      <c r="AK989" s="1180"/>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8"/>
      <c r="AE990" s="1179"/>
      <c r="AF990" s="1179"/>
      <c r="AG990" s="1179"/>
      <c r="AH990" s="1179"/>
      <c r="AI990" s="1179"/>
      <c r="AJ990" s="1179"/>
      <c r="AK990" s="1180"/>
      <c r="AL990" s="105"/>
    </row>
    <row r="991" spans="1:38" ht="12.75" customHeight="1">
      <c r="A991" s="51"/>
      <c r="B991" s="120"/>
      <c r="C991" s="555" t="s">
        <v>741</v>
      </c>
      <c r="D991" s="1246" t="s">
        <v>1623</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3" t="s">
        <v>722</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3" t="s">
        <v>1624</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6" t="s">
        <v>1628</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6" t="str">
        <f>IF(X999&gt;0,"Yes","No")</f>
        <v>Yes</v>
      </c>
      <c r="AB996" s="1277"/>
      <c r="AC996" s="128"/>
      <c r="AD996" s="1267">
        <f>IF((X999=0),"",AO906*AD953)</f>
        <v>5064384.26</v>
      </c>
      <c r="AE996" s="1268"/>
      <c r="AF996" s="1268"/>
      <c r="AG996" s="1268"/>
      <c r="AH996" s="1268"/>
      <c r="AI996" s="1268"/>
      <c r="AJ996" s="1268"/>
      <c r="AK996" s="1269"/>
      <c r="AL996" s="105"/>
    </row>
    <row r="997" spans="1:38" s="743" customFormat="1" ht="12.75" customHeight="1">
      <c r="A997" s="51"/>
      <c r="B997" s="113"/>
      <c r="C997" s="726"/>
      <c r="D997" s="1243" t="s">
        <v>1627</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1081</v>
      </c>
      <c r="E999" s="208"/>
      <c r="F999" s="208"/>
      <c r="G999" s="208"/>
      <c r="H999" s="104"/>
      <c r="I999" s="1297">
        <f>AM905</f>
        <v>57</v>
      </c>
      <c r="J999" s="1298"/>
      <c r="K999" s="51"/>
      <c r="L999" s="104"/>
      <c r="M999" s="208"/>
      <c r="N999" s="208"/>
      <c r="O999" s="208"/>
      <c r="P999" s="208"/>
      <c r="Q999" s="208"/>
      <c r="R999" s="208"/>
      <c r="S999" s="208"/>
      <c r="T999" s="208"/>
      <c r="U999" s="208"/>
      <c r="V999" s="104"/>
      <c r="W999" s="209" t="s">
        <v>1082</v>
      </c>
      <c r="X999" s="1299">
        <f>AT614</f>
        <v>17</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1155</v>
      </c>
      <c r="D1000" s="1246" t="s">
        <v>1626</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6" t="str">
        <f>IF(X1003&gt;0,"Yes","No")</f>
        <v>No</v>
      </c>
      <c r="AB1000" s="1277"/>
      <c r="AC1000" s="124"/>
      <c r="AD1000" s="1267" t="str">
        <f>IF((X1003=0)," ",(2*AO907)*AD953)</f>
        <v xml:space="preserve"> </v>
      </c>
      <c r="AE1000" s="1268"/>
      <c r="AF1000" s="1268"/>
      <c r="AG1000" s="1268"/>
      <c r="AH1000" s="1268"/>
      <c r="AI1000" s="1268"/>
      <c r="AJ1000" s="1268"/>
      <c r="AK1000" s="1269"/>
      <c r="AL1000" s="105"/>
    </row>
    <row r="1001" spans="1:38" s="743" customFormat="1" ht="12.75" customHeight="1">
      <c r="A1001" s="51"/>
      <c r="B1001" s="113"/>
      <c r="C1001" s="726"/>
      <c r="D1001" s="1243" t="s">
        <v>1625</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1081</v>
      </c>
      <c r="E1003" s="208"/>
      <c r="F1003" s="208"/>
      <c r="G1003" s="208"/>
      <c r="H1003" s="208"/>
      <c r="I1003" s="1297">
        <f>AM905</f>
        <v>57</v>
      </c>
      <c r="J1003" s="1298"/>
      <c r="K1003" s="51"/>
      <c r="L1003" s="208"/>
      <c r="M1003" s="208"/>
      <c r="N1003" s="208"/>
      <c r="O1003" s="208"/>
      <c r="P1003" s="208"/>
      <c r="Q1003" s="208"/>
      <c r="R1003" s="208"/>
      <c r="S1003" s="208"/>
      <c r="T1003" s="208"/>
      <c r="U1003" s="208"/>
      <c r="V1003" s="208"/>
      <c r="W1003" s="209" t="s">
        <v>1083</v>
      </c>
      <c r="X1003" s="1299">
        <f>AX614</f>
        <v>0</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7" t="s">
        <v>559</v>
      </c>
      <c r="E1004" s="1327"/>
      <c r="F1004" s="1327"/>
      <c r="G1004" s="1327"/>
      <c r="H1004" s="1327"/>
      <c r="I1004" s="1327"/>
      <c r="J1004" s="1327"/>
      <c r="K1004" s="1327"/>
      <c r="L1004" s="1327"/>
      <c r="M1004" s="1327"/>
      <c r="N1004" s="1327"/>
      <c r="O1004" s="1327"/>
      <c r="P1004" s="1327"/>
      <c r="Q1004" s="1327"/>
      <c r="R1004" s="1327"/>
      <c r="S1004" s="1327"/>
      <c r="T1004" s="1327"/>
      <c r="U1004" s="1327"/>
      <c r="V1004" s="1327"/>
      <c r="W1004" s="1327"/>
      <c r="X1004" s="1327"/>
      <c r="Y1004" s="1327"/>
      <c r="Z1004" s="1327"/>
      <c r="AA1004" s="1327"/>
      <c r="AB1004" s="1327"/>
      <c r="AC1004" s="1328"/>
      <c r="AD1004" s="1262">
        <f>SUM(AD953:AK1003)</f>
        <v>24274117.259999998</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75"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75"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75"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75"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096" t="s">
        <v>641</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75"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75"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75"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75"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75"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75" customHeight="1">
      <c r="A1025" s="1096" t="s">
        <v>641</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75"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75"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75"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75"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75"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75" customHeight="1">
      <c r="A1031" s="1096" t="s">
        <v>641</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75"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75"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75"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75"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75"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75"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75" customHeight="1">
      <c r="A1038" s="1096" t="s">
        <v>641</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75"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75"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75" customHeight="1">
      <c r="A1041" s="1096" t="s">
        <v>641</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75"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75"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75"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75"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75" customHeight="1">
      <c r="A1046" s="1096" t="s">
        <v>641</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75"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75"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75" customHeight="1">
      <c r="A1049" s="1096" t="s">
        <v>641</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75"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75"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75"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75" customHeight="1">
      <c r="A1053" s="1096" t="s">
        <v>641</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75"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75"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641</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94" zoomScaleNormal="100" zoomScaleSheetLayoutView="100" workbookViewId="0">
      <selection activeCell="B104" sqref="B104"/>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405</v>
      </c>
      <c r="D2" s="216" t="s">
        <v>404</v>
      </c>
      <c r="E2" s="216" t="s">
        <v>27</v>
      </c>
      <c r="F2" s="217" t="str">
        <f>Application!B618&amp;Application!C618</f>
        <v>1)US Bank - taxable perm loan</v>
      </c>
      <c r="G2" s="217" t="str">
        <f>Application!B619&amp;Application!C619</f>
        <v>2)SRC-PH Affordable Funding gap loan</v>
      </c>
      <c r="H2" s="217" t="str">
        <f>Application!B620&amp;Application!C620</f>
        <v>3)SRC- PH Purchase of Commercial space</v>
      </c>
      <c r="I2" s="217" t="str">
        <f>Application!B621&amp;Application!C621</f>
        <v>4)Accrued Deferred Interest</v>
      </c>
      <c r="J2" s="217" t="str">
        <f>Application!B622&amp;Application!C622</f>
        <v>5)GP Capital Contribution (developer fee)</v>
      </c>
      <c r="K2" s="217" t="str">
        <f>Application!B623&amp;Application!C623</f>
        <v xml:space="preserve">6)GP Capital </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c r="F4" s="225">
        <v>1</v>
      </c>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5430</v>
      </c>
      <c r="C6" s="225">
        <v>4826</v>
      </c>
      <c r="D6" s="225">
        <v>604</v>
      </c>
      <c r="E6" s="225"/>
      <c r="F6" s="225">
        <v>4826</v>
      </c>
      <c r="G6" s="225"/>
      <c r="H6" s="225">
        <v>604</v>
      </c>
      <c r="I6" s="225"/>
      <c r="J6" s="225"/>
      <c r="K6" s="225"/>
      <c r="L6" s="225"/>
      <c r="M6" s="225"/>
      <c r="N6" s="225"/>
      <c r="O6" s="225"/>
      <c r="P6" s="225"/>
      <c r="Q6" s="225"/>
      <c r="R6" s="916">
        <f>SUM(E6:Q6)</f>
        <v>5430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5431</v>
      </c>
      <c r="C8" s="224">
        <f t="shared" ref="C8:Q8" si="0">SUM(C4:C7)</f>
        <v>4827</v>
      </c>
      <c r="D8" s="224">
        <f t="shared" si="0"/>
        <v>604</v>
      </c>
      <c r="E8" s="224">
        <f t="shared" si="0"/>
        <v>0</v>
      </c>
      <c r="F8" s="224">
        <f t="shared" si="0"/>
        <v>4827</v>
      </c>
      <c r="G8" s="224">
        <f t="shared" si="0"/>
        <v>0</v>
      </c>
      <c r="H8" s="224">
        <f t="shared" si="0"/>
        <v>604</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5431</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2819960</v>
      </c>
      <c r="C10" s="225">
        <v>2506062</v>
      </c>
      <c r="D10" s="225">
        <v>313898</v>
      </c>
      <c r="E10" s="225"/>
      <c r="F10" s="225">
        <v>2506062</v>
      </c>
      <c r="G10" s="225"/>
      <c r="H10" s="225">
        <v>313898</v>
      </c>
      <c r="I10" s="225"/>
      <c r="J10" s="225"/>
      <c r="K10" s="225"/>
      <c r="L10" s="225"/>
      <c r="M10" s="225"/>
      <c r="N10" s="225"/>
      <c r="O10" s="225"/>
      <c r="P10" s="225"/>
      <c r="Q10" s="225"/>
      <c r="R10" s="916">
        <f>SUM(E10:Q10)</f>
        <v>2819960</v>
      </c>
      <c r="S10" s="225">
        <v>2506062</v>
      </c>
      <c r="T10" s="225"/>
      <c r="U10" s="221"/>
    </row>
    <row r="11" spans="1:21" s="222" customFormat="1">
      <c r="A11" s="227" t="s">
        <v>646</v>
      </c>
      <c r="B11" s="224">
        <f>SUM(C11:D11)</f>
        <v>2819960</v>
      </c>
      <c r="C11" s="224">
        <f t="shared" ref="C11:Q11" si="1">SUM(C9:C10)</f>
        <v>2506062</v>
      </c>
      <c r="D11" s="224">
        <f t="shared" si="1"/>
        <v>313898</v>
      </c>
      <c r="E11" s="224">
        <f t="shared" si="1"/>
        <v>0</v>
      </c>
      <c r="F11" s="224">
        <f t="shared" si="1"/>
        <v>2506062</v>
      </c>
      <c r="G11" s="224">
        <f t="shared" si="1"/>
        <v>0</v>
      </c>
      <c r="H11" s="224">
        <f t="shared" si="1"/>
        <v>313898</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2819960</v>
      </c>
      <c r="S11" s="226"/>
      <c r="T11" s="228">
        <f>SUM(T9:T10)</f>
        <v>0</v>
      </c>
      <c r="U11" s="221"/>
    </row>
    <row r="12" spans="1:21" s="222" customFormat="1">
      <c r="A12" s="227" t="s">
        <v>91</v>
      </c>
      <c r="B12" s="224">
        <f t="shared" ref="B12:Q12" si="2">SUM(B8+B11)</f>
        <v>2825391</v>
      </c>
      <c r="C12" s="224">
        <f t="shared" si="2"/>
        <v>2510889</v>
      </c>
      <c r="D12" s="224">
        <f t="shared" si="2"/>
        <v>314502</v>
      </c>
      <c r="E12" s="224">
        <f t="shared" si="2"/>
        <v>0</v>
      </c>
      <c r="F12" s="224">
        <f t="shared" si="2"/>
        <v>2510889</v>
      </c>
      <c r="G12" s="224">
        <f t="shared" si="2"/>
        <v>0</v>
      </c>
      <c r="H12" s="224">
        <f t="shared" si="2"/>
        <v>314502</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2825391</v>
      </c>
      <c r="S12" s="226"/>
      <c r="T12" s="226"/>
      <c r="U12" s="221"/>
    </row>
    <row r="13" spans="1:21" s="222" customFormat="1">
      <c r="A13" s="466" t="s">
        <v>1000</v>
      </c>
      <c r="B13" s="224">
        <f>SUM(C13+D13)</f>
        <v>16060</v>
      </c>
      <c r="C13" s="225">
        <v>14272</v>
      </c>
      <c r="D13" s="225">
        <v>1788</v>
      </c>
      <c r="E13" s="225"/>
      <c r="F13" s="225">
        <v>14272</v>
      </c>
      <c r="G13" s="225"/>
      <c r="H13" s="225">
        <v>1788</v>
      </c>
      <c r="I13" s="225"/>
      <c r="J13" s="225"/>
      <c r="K13" s="225"/>
      <c r="L13" s="225"/>
      <c r="M13" s="225"/>
      <c r="N13" s="225"/>
      <c r="O13" s="225"/>
      <c r="P13" s="225"/>
      <c r="Q13" s="225"/>
      <c r="R13" s="916">
        <f>SUM(E13:Q13)</f>
        <v>16060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1781575</v>
      </c>
      <c r="C28" s="225">
        <v>1583264</v>
      </c>
      <c r="D28" s="225">
        <f>198312-1</f>
        <v>198311</v>
      </c>
      <c r="E28" s="225">
        <v>1583264</v>
      </c>
      <c r="F28" s="225"/>
      <c r="G28" s="225"/>
      <c r="H28" s="225">
        <f>198312-1</f>
        <v>198311</v>
      </c>
      <c r="I28" s="225"/>
      <c r="J28" s="225"/>
      <c r="K28" s="225"/>
      <c r="L28" s="225"/>
      <c r="M28" s="225"/>
      <c r="N28" s="225"/>
      <c r="O28" s="225"/>
      <c r="P28" s="225"/>
      <c r="Q28" s="225"/>
      <c r="R28" s="916">
        <f t="shared" ref="R28:R35" si="7">SUM(E28:Q28)</f>
        <v>1781575</v>
      </c>
      <c r="S28" s="225">
        <v>1583264</v>
      </c>
      <c r="T28" s="225"/>
      <c r="U28" s="221"/>
    </row>
    <row r="29" spans="1:21" s="222" customFormat="1">
      <c r="A29" s="223" t="s">
        <v>649</v>
      </c>
      <c r="B29" s="224">
        <f t="shared" si="6"/>
        <v>8809587</v>
      </c>
      <c r="C29" s="225">
        <v>7108092</v>
      </c>
      <c r="D29" s="225">
        <v>1701495</v>
      </c>
      <c r="E29" s="225">
        <f>B29-F29-G29-H29</f>
        <v>4672346</v>
      </c>
      <c r="F29" s="225">
        <f>576063+5635+840000+21500-16133</f>
        <v>1427065</v>
      </c>
      <c r="G29" s="225">
        <f>6344004-5335323</f>
        <v>1008681</v>
      </c>
      <c r="H29" s="225">
        <v>1701495</v>
      </c>
      <c r="I29" s="225"/>
      <c r="J29" s="225"/>
      <c r="K29" s="225"/>
      <c r="L29" s="225"/>
      <c r="M29" s="225"/>
      <c r="N29" s="225"/>
      <c r="O29" s="225"/>
      <c r="P29" s="225"/>
      <c r="Q29" s="225"/>
      <c r="R29" s="916">
        <f t="shared" si="7"/>
        <v>8809587</v>
      </c>
      <c r="S29" s="225">
        <v>7108092</v>
      </c>
      <c r="T29" s="225"/>
      <c r="U29" s="221"/>
    </row>
    <row r="30" spans="1:21" s="222" customFormat="1">
      <c r="A30" s="223" t="s">
        <v>650</v>
      </c>
      <c r="B30" s="224">
        <f t="shared" si="6"/>
        <v>1293514</v>
      </c>
      <c r="C30" s="225">
        <v>981266</v>
      </c>
      <c r="D30" s="225">
        <v>312248</v>
      </c>
      <c r="E30" s="225">
        <v>981266</v>
      </c>
      <c r="F30" s="225"/>
      <c r="G30" s="225"/>
      <c r="H30" s="225">
        <v>312248</v>
      </c>
      <c r="I30" s="225"/>
      <c r="J30" s="225"/>
      <c r="K30" s="225"/>
      <c r="L30" s="225"/>
      <c r="M30" s="225"/>
      <c r="N30" s="225"/>
      <c r="O30" s="225"/>
      <c r="P30" s="225"/>
      <c r="Q30" s="225"/>
      <c r="R30" s="916">
        <f t="shared" si="7"/>
        <v>1293514</v>
      </c>
      <c r="S30" s="225">
        <v>981266</v>
      </c>
      <c r="T30" s="225"/>
      <c r="U30" s="221"/>
    </row>
    <row r="31" spans="1:21" s="222" customFormat="1">
      <c r="A31" s="223" t="s">
        <v>144</v>
      </c>
      <c r="B31" s="224">
        <f t="shared" si="6"/>
        <v>144470</v>
      </c>
      <c r="C31" s="225">
        <v>128388</v>
      </c>
      <c r="D31" s="225">
        <v>16082</v>
      </c>
      <c r="E31" s="225">
        <v>128388</v>
      </c>
      <c r="F31" s="225"/>
      <c r="G31" s="225"/>
      <c r="H31" s="225">
        <v>16082</v>
      </c>
      <c r="I31" s="225"/>
      <c r="J31" s="225"/>
      <c r="K31" s="225"/>
      <c r="L31" s="225"/>
      <c r="M31" s="225"/>
      <c r="N31" s="225"/>
      <c r="O31" s="225"/>
      <c r="P31" s="225"/>
      <c r="Q31" s="225"/>
      <c r="R31" s="916">
        <f t="shared" si="7"/>
        <v>144470</v>
      </c>
      <c r="S31" s="225">
        <v>128388</v>
      </c>
      <c r="T31" s="225"/>
      <c r="U31" s="221"/>
    </row>
    <row r="32" spans="1:21" s="222" customFormat="1">
      <c r="A32" s="223" t="s">
        <v>145</v>
      </c>
      <c r="B32" s="224">
        <f t="shared" si="6"/>
        <v>144470</v>
      </c>
      <c r="C32" s="225">
        <v>128388</v>
      </c>
      <c r="D32" s="225">
        <v>16082</v>
      </c>
      <c r="E32" s="225">
        <v>128388</v>
      </c>
      <c r="F32" s="225"/>
      <c r="G32" s="225"/>
      <c r="H32" s="225">
        <v>16082</v>
      </c>
      <c r="I32" s="225"/>
      <c r="J32" s="225"/>
      <c r="K32" s="225"/>
      <c r="L32" s="225"/>
      <c r="M32" s="225"/>
      <c r="N32" s="225"/>
      <c r="O32" s="225"/>
      <c r="P32" s="225"/>
      <c r="Q32" s="225"/>
      <c r="R32" s="916">
        <f t="shared" si="7"/>
        <v>144470</v>
      </c>
      <c r="S32" s="225">
        <v>128388</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292120</v>
      </c>
      <c r="C34" s="225">
        <v>259603</v>
      </c>
      <c r="D34" s="225">
        <v>32517</v>
      </c>
      <c r="E34" s="225">
        <v>259603</v>
      </c>
      <c r="F34" s="225"/>
      <c r="G34" s="225"/>
      <c r="H34" s="225">
        <v>32517</v>
      </c>
      <c r="I34" s="225"/>
      <c r="J34" s="225"/>
      <c r="K34" s="225"/>
      <c r="L34" s="225"/>
      <c r="M34" s="225"/>
      <c r="N34" s="225"/>
      <c r="O34" s="225"/>
      <c r="P34" s="225"/>
      <c r="Q34" s="225"/>
      <c r="R34" s="916">
        <f t="shared" si="7"/>
        <v>292120</v>
      </c>
      <c r="S34" s="225">
        <v>259603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12465736</v>
      </c>
      <c r="C36" s="224">
        <f>SUM(C28:C35)</f>
        <v>10189001</v>
      </c>
      <c r="D36" s="224">
        <f t="shared" ref="D36:Q36" si="8">SUM(D28:D35)</f>
        <v>2276735</v>
      </c>
      <c r="E36" s="224">
        <f t="shared" si="8"/>
        <v>7753255</v>
      </c>
      <c r="F36" s="224">
        <f t="shared" si="8"/>
        <v>1427065</v>
      </c>
      <c r="G36" s="224">
        <f t="shared" si="8"/>
        <v>1008681</v>
      </c>
      <c r="H36" s="224">
        <f t="shared" si="8"/>
        <v>2276735</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12465736</v>
      </c>
      <c r="S36" s="228">
        <f>SUM(S28:S35)</f>
        <v>10189001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745858</v>
      </c>
      <c r="C38" s="225">
        <v>565812</v>
      </c>
      <c r="D38" s="225">
        <v>180046</v>
      </c>
      <c r="E38" s="225"/>
      <c r="F38" s="225"/>
      <c r="G38" s="225">
        <v>565812</v>
      </c>
      <c r="H38" s="225">
        <v>180046</v>
      </c>
      <c r="I38" s="225"/>
      <c r="J38" s="225"/>
      <c r="K38" s="225"/>
      <c r="L38" s="225"/>
      <c r="M38" s="225"/>
      <c r="N38" s="225"/>
      <c r="O38" s="225"/>
      <c r="P38" s="225"/>
      <c r="Q38" s="225"/>
      <c r="R38" s="916">
        <f>SUM(E38:Q38)</f>
        <v>745858</v>
      </c>
      <c r="S38" s="225">
        <v>565812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745858</v>
      </c>
      <c r="C40" s="224">
        <f>SUM(C37:C39)</f>
        <v>565812</v>
      </c>
      <c r="D40" s="224">
        <f>SUM(D37:D39)</f>
        <v>180046</v>
      </c>
      <c r="E40" s="224">
        <f t="shared" ref="E40:T40" si="9">SUM(E38:E39)</f>
        <v>0</v>
      </c>
      <c r="F40" s="224">
        <f t="shared" si="9"/>
        <v>0</v>
      </c>
      <c r="G40" s="224">
        <f t="shared" si="9"/>
        <v>565812</v>
      </c>
      <c r="H40" s="224">
        <f t="shared" si="9"/>
        <v>180046</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745858</v>
      </c>
      <c r="S40" s="228">
        <f t="shared" si="9"/>
        <v>565812</v>
      </c>
      <c r="T40" s="228">
        <f t="shared" si="9"/>
        <v>0</v>
      </c>
      <c r="U40" s="221"/>
    </row>
    <row r="41" spans="1:21" s="222" customFormat="1">
      <c r="A41" s="227" t="s">
        <v>155</v>
      </c>
      <c r="B41" s="224">
        <f>SUM(C41:D41)</f>
        <v>428500</v>
      </c>
      <c r="C41" s="225">
        <v>314697</v>
      </c>
      <c r="D41" s="225">
        <v>113803</v>
      </c>
      <c r="E41" s="225"/>
      <c r="F41" s="225"/>
      <c r="G41" s="225">
        <v>314697</v>
      </c>
      <c r="H41" s="225">
        <v>113803</v>
      </c>
      <c r="I41" s="225"/>
      <c r="J41" s="225"/>
      <c r="K41" s="225"/>
      <c r="L41" s="225"/>
      <c r="M41" s="225"/>
      <c r="N41" s="225"/>
      <c r="O41" s="225"/>
      <c r="P41" s="225"/>
      <c r="Q41" s="225"/>
      <c r="R41" s="916">
        <f>SUM(E41:Q41)</f>
        <v>428500</v>
      </c>
      <c r="S41" s="225">
        <v>314697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1123125</v>
      </c>
      <c r="C43" s="225">
        <v>998107</v>
      </c>
      <c r="D43" s="225">
        <v>125018</v>
      </c>
      <c r="E43" s="225"/>
      <c r="F43" s="225">
        <f>B43-G43-H43-I43</f>
        <v>436853</v>
      </c>
      <c r="G43" s="225">
        <f>386979+150</f>
        <v>387129</v>
      </c>
      <c r="H43" s="225">
        <f>D43</f>
        <v>125018</v>
      </c>
      <c r="I43" s="225">
        <v>174125</v>
      </c>
      <c r="J43" s="225"/>
      <c r="K43" s="225"/>
      <c r="L43" s="225"/>
      <c r="M43" s="225"/>
      <c r="N43" s="225"/>
      <c r="O43" s="225"/>
      <c r="P43" s="225"/>
      <c r="Q43" s="225"/>
      <c r="R43" s="916">
        <f t="shared" ref="R43:R52" si="11">SUM(E43:Q43)</f>
        <v>1123125</v>
      </c>
      <c r="S43" s="225">
        <f>618309+2</f>
        <v>618311</v>
      </c>
      <c r="T43" s="225"/>
      <c r="U43" s="221"/>
    </row>
    <row r="44" spans="1:21" s="222" customFormat="1">
      <c r="A44" s="223" t="s">
        <v>158</v>
      </c>
      <c r="B44" s="224">
        <f t="shared" si="10"/>
        <v>130045</v>
      </c>
      <c r="C44" s="225">
        <v>130045</v>
      </c>
      <c r="D44" s="225"/>
      <c r="E44" s="225"/>
      <c r="F44" s="225"/>
      <c r="G44" s="225">
        <f>C44</f>
        <v>130045</v>
      </c>
      <c r="H44" s="225"/>
      <c r="I44" s="225"/>
      <c r="J44" s="225"/>
      <c r="K44" s="225"/>
      <c r="L44" s="225"/>
      <c r="M44" s="225"/>
      <c r="N44" s="225"/>
      <c r="O44" s="225"/>
      <c r="P44" s="225"/>
      <c r="Q44" s="225"/>
      <c r="R44" s="916">
        <f t="shared" si="11"/>
        <v>130045</v>
      </c>
      <c r="S44" s="225"/>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277946</v>
      </c>
      <c r="C47" s="225">
        <v>277946</v>
      </c>
      <c r="D47" s="225"/>
      <c r="E47" s="225"/>
      <c r="F47" s="225"/>
      <c r="G47" s="225">
        <f>C47</f>
        <v>277946</v>
      </c>
      <c r="H47" s="225"/>
      <c r="I47" s="225"/>
      <c r="J47" s="225"/>
      <c r="K47" s="225"/>
      <c r="L47" s="225"/>
      <c r="M47" s="225"/>
      <c r="N47" s="225"/>
      <c r="O47" s="225"/>
      <c r="P47" s="225"/>
      <c r="Q47" s="225"/>
      <c r="R47" s="916">
        <f t="shared" si="11"/>
        <v>277946</v>
      </c>
      <c r="S47" s="225"/>
      <c r="T47" s="225"/>
      <c r="U47" s="221"/>
    </row>
    <row r="48" spans="1:21" s="222" customFormat="1">
      <c r="A48" s="223" t="s">
        <v>163</v>
      </c>
      <c r="B48" s="224">
        <f t="shared" si="10"/>
        <v>40000</v>
      </c>
      <c r="C48" s="225">
        <v>35547</v>
      </c>
      <c r="D48" s="225">
        <v>4453</v>
      </c>
      <c r="E48" s="225"/>
      <c r="F48" s="225"/>
      <c r="G48" s="225">
        <v>35547</v>
      </c>
      <c r="H48" s="225">
        <v>4453</v>
      </c>
      <c r="I48" s="225"/>
      <c r="J48" s="225"/>
      <c r="K48" s="225"/>
      <c r="L48" s="225"/>
      <c r="M48" s="225"/>
      <c r="N48" s="225"/>
      <c r="O48" s="225"/>
      <c r="P48" s="225"/>
      <c r="Q48" s="225"/>
      <c r="R48" s="916">
        <f t="shared" si="11"/>
        <v>40000</v>
      </c>
      <c r="S48" s="225">
        <v>35547</v>
      </c>
      <c r="T48" s="225"/>
      <c r="U48" s="221"/>
    </row>
    <row r="49" spans="1:21" s="222" customFormat="1">
      <c r="A49" s="457" t="s">
        <v>161</v>
      </c>
      <c r="B49" s="224">
        <f t="shared" si="10"/>
        <v>60000</v>
      </c>
      <c r="C49" s="225">
        <v>53321</v>
      </c>
      <c r="D49" s="225">
        <v>6679</v>
      </c>
      <c r="E49" s="225"/>
      <c r="F49" s="225"/>
      <c r="G49" s="225">
        <v>53321</v>
      </c>
      <c r="H49" s="225">
        <v>6679</v>
      </c>
      <c r="I49" s="225"/>
      <c r="J49" s="225"/>
      <c r="K49" s="225"/>
      <c r="L49" s="225"/>
      <c r="M49" s="225"/>
      <c r="N49" s="225"/>
      <c r="O49" s="225"/>
      <c r="P49" s="225"/>
      <c r="Q49" s="225"/>
      <c r="R49" s="916">
        <f t="shared" si="11"/>
        <v>60000</v>
      </c>
      <c r="S49" s="225">
        <v>53321</v>
      </c>
      <c r="T49" s="225"/>
      <c r="U49" s="221"/>
    </row>
    <row r="50" spans="1:21" s="222" customFormat="1">
      <c r="A50" s="223" t="s">
        <v>162</v>
      </c>
      <c r="B50" s="224">
        <f t="shared" si="10"/>
        <v>209136</v>
      </c>
      <c r="C50" s="225">
        <v>185856</v>
      </c>
      <c r="D50" s="225">
        <v>23280</v>
      </c>
      <c r="E50" s="225"/>
      <c r="F50" s="225"/>
      <c r="G50" s="225">
        <v>185856</v>
      </c>
      <c r="H50" s="225">
        <v>23280</v>
      </c>
      <c r="I50" s="225"/>
      <c r="J50" s="225"/>
      <c r="K50" s="225"/>
      <c r="L50" s="225"/>
      <c r="M50" s="225"/>
      <c r="N50" s="225"/>
      <c r="O50" s="225"/>
      <c r="P50" s="225"/>
      <c r="Q50" s="225"/>
      <c r="R50" s="916">
        <f t="shared" si="11"/>
        <v>209136</v>
      </c>
      <c r="S50" s="225">
        <v>185856</v>
      </c>
      <c r="T50" s="225"/>
      <c r="U50" s="221"/>
    </row>
    <row r="51" spans="1:21" s="222" customFormat="1">
      <c r="A51" s="955" t="s">
        <v>1778</v>
      </c>
      <c r="B51" s="224">
        <f t="shared" si="10"/>
        <v>55000</v>
      </c>
      <c r="C51" s="225">
        <v>48878</v>
      </c>
      <c r="D51" s="225">
        <v>6122</v>
      </c>
      <c r="E51" s="225"/>
      <c r="F51" s="225"/>
      <c r="G51" s="225">
        <v>48878</v>
      </c>
      <c r="H51" s="225">
        <v>6122</v>
      </c>
      <c r="I51" s="225"/>
      <c r="J51" s="225"/>
      <c r="K51" s="225"/>
      <c r="L51" s="225"/>
      <c r="M51" s="225"/>
      <c r="N51" s="225"/>
      <c r="O51" s="225"/>
      <c r="P51" s="225"/>
      <c r="Q51" s="225"/>
      <c r="R51" s="916">
        <f t="shared" si="11"/>
        <v>55000</v>
      </c>
      <c r="S51" s="225">
        <v>48878</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1895252</v>
      </c>
      <c r="C53" s="228">
        <f t="shared" ref="C53:T53" si="12">SUM(C43:C52)</f>
        <v>1729700</v>
      </c>
      <c r="D53" s="228">
        <f t="shared" si="12"/>
        <v>165552</v>
      </c>
      <c r="E53" s="228">
        <f t="shared" si="12"/>
        <v>0</v>
      </c>
      <c r="F53" s="228">
        <f t="shared" si="12"/>
        <v>436853</v>
      </c>
      <c r="G53" s="228">
        <f t="shared" si="12"/>
        <v>1118722</v>
      </c>
      <c r="H53" s="228">
        <f t="shared" si="12"/>
        <v>165552</v>
      </c>
      <c r="I53" s="228">
        <f t="shared" si="12"/>
        <v>174125</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1895252</v>
      </c>
      <c r="S53" s="228">
        <f t="shared" si="12"/>
        <v>941913</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56370</v>
      </c>
      <c r="C55" s="225">
        <v>56370</v>
      </c>
      <c r="D55" s="225"/>
      <c r="E55" s="225"/>
      <c r="F55" s="225">
        <f>C55</f>
        <v>56370</v>
      </c>
      <c r="G55" s="225"/>
      <c r="H55" s="225"/>
      <c r="I55" s="225"/>
      <c r="J55" s="225"/>
      <c r="K55" s="225"/>
      <c r="L55" s="225"/>
      <c r="M55" s="225"/>
      <c r="N55" s="225"/>
      <c r="O55" s="225"/>
      <c r="P55" s="225"/>
      <c r="Q55" s="225"/>
      <c r="R55" s="916">
        <f t="shared" ref="R55:R61" si="14">SUM(E55:Q55)</f>
        <v>56370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25000</v>
      </c>
      <c r="C57" s="225">
        <v>22217</v>
      </c>
      <c r="D57" s="225">
        <v>2783</v>
      </c>
      <c r="E57" s="225"/>
      <c r="F57" s="225">
        <v>22217</v>
      </c>
      <c r="G57" s="225"/>
      <c r="H57" s="225">
        <v>2783</v>
      </c>
      <c r="I57" s="225"/>
      <c r="J57" s="225"/>
      <c r="K57" s="225"/>
      <c r="L57" s="225"/>
      <c r="M57" s="225"/>
      <c r="N57" s="225"/>
      <c r="O57" s="225"/>
      <c r="P57" s="225"/>
      <c r="Q57" s="225"/>
      <c r="R57" s="916">
        <f t="shared" si="14"/>
        <v>25000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1779</v>
      </c>
      <c r="B60" s="224">
        <f t="shared" si="13"/>
        <v>10000</v>
      </c>
      <c r="C60" s="225">
        <v>8887</v>
      </c>
      <c r="D60" s="225">
        <v>1113</v>
      </c>
      <c r="E60" s="225"/>
      <c r="F60" s="225">
        <v>8887</v>
      </c>
      <c r="G60" s="225"/>
      <c r="H60" s="225">
        <v>1113</v>
      </c>
      <c r="I60" s="225"/>
      <c r="J60" s="225"/>
      <c r="K60" s="225"/>
      <c r="L60" s="225"/>
      <c r="M60" s="225"/>
      <c r="N60" s="225"/>
      <c r="O60" s="225"/>
      <c r="P60" s="225"/>
      <c r="Q60" s="225"/>
      <c r="R60" s="916">
        <f t="shared" si="14"/>
        <v>10000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91370</v>
      </c>
      <c r="C62" s="224">
        <f t="shared" ref="C62:Q62" si="15">SUM(C55:C61)</f>
        <v>87474</v>
      </c>
      <c r="D62" s="224">
        <f t="shared" si="15"/>
        <v>3896</v>
      </c>
      <c r="E62" s="224">
        <f t="shared" si="15"/>
        <v>0</v>
      </c>
      <c r="F62" s="224">
        <f t="shared" si="15"/>
        <v>87474</v>
      </c>
      <c r="G62" s="224">
        <f t="shared" si="15"/>
        <v>0</v>
      </c>
      <c r="H62" s="224">
        <f t="shared" si="15"/>
        <v>3896</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91370</v>
      </c>
      <c r="S62" s="226"/>
      <c r="T62" s="226"/>
      <c r="U62" s="221"/>
    </row>
    <row r="63" spans="1:21" s="222" customFormat="1">
      <c r="A63" s="233" t="s">
        <v>320</v>
      </c>
      <c r="B63" s="224">
        <f>SUM(B8+B11+B13+B14+B15+B25+B26+B36+B40+B41+B53+B62)</f>
        <v>18468167</v>
      </c>
      <c r="C63" s="224">
        <f t="shared" ref="C63:Q63" si="16">SUM(C8+C11+C13+C14+C15+C25+C26+C36+C40+C41+C53+C62)</f>
        <v>15411845</v>
      </c>
      <c r="D63" s="224">
        <f t="shared" si="16"/>
        <v>3056322</v>
      </c>
      <c r="E63" s="224">
        <f t="shared" si="16"/>
        <v>7753255</v>
      </c>
      <c r="F63" s="224">
        <f t="shared" si="16"/>
        <v>4476553</v>
      </c>
      <c r="G63" s="224">
        <f t="shared" si="16"/>
        <v>3007912</v>
      </c>
      <c r="H63" s="224">
        <f t="shared" si="16"/>
        <v>3056322</v>
      </c>
      <c r="I63" s="224">
        <f t="shared" si="16"/>
        <v>174125</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18468167</v>
      </c>
      <c r="S63" s="224">
        <f>SUM(S10+S13+S14+S15+S25+S26+S36+S40+S41+S53)</f>
        <v>14517485</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60000</v>
      </c>
      <c r="C65" s="225">
        <v>60000</v>
      </c>
      <c r="D65" s="225"/>
      <c r="E65" s="225"/>
      <c r="F65" s="225"/>
      <c r="G65" s="225">
        <v>60000</v>
      </c>
      <c r="H65" s="225"/>
      <c r="I65" s="225"/>
      <c r="J65" s="225"/>
      <c r="K65" s="225"/>
      <c r="L65" s="225"/>
      <c r="M65" s="225"/>
      <c r="N65" s="225"/>
      <c r="O65" s="225"/>
      <c r="P65" s="225"/>
      <c r="Q65" s="225"/>
      <c r="R65" s="916">
        <f>SUM(E65:Q65)</f>
        <v>60000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60000</v>
      </c>
      <c r="C67" s="224">
        <f>SUM(C64:C66)</f>
        <v>60000</v>
      </c>
      <c r="D67" s="224">
        <f>SUM(D64:D66)</f>
        <v>0</v>
      </c>
      <c r="E67" s="224">
        <f t="shared" ref="E67:T67" si="17">SUM(E65:E66)</f>
        <v>0</v>
      </c>
      <c r="F67" s="224">
        <f t="shared" si="17"/>
        <v>0</v>
      </c>
      <c r="G67" s="224">
        <f t="shared" si="17"/>
        <v>60000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60000</v>
      </c>
      <c r="S67" s="228">
        <f>SUM(S65:S66)</f>
        <v>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20300</v>
      </c>
      <c r="C70" s="225">
        <v>20300</v>
      </c>
      <c r="D70" s="225"/>
      <c r="E70" s="225"/>
      <c r="F70" s="225">
        <v>20300</v>
      </c>
      <c r="G70" s="225"/>
      <c r="H70" s="225"/>
      <c r="I70" s="225"/>
      <c r="J70" s="225"/>
      <c r="K70" s="225"/>
      <c r="L70" s="225"/>
      <c r="M70" s="225"/>
      <c r="N70" s="225"/>
      <c r="O70" s="225"/>
      <c r="P70" s="225"/>
      <c r="Q70" s="225"/>
      <c r="R70" s="916">
        <f>SUM(E70:Q70)</f>
        <v>20300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174568</v>
      </c>
      <c r="C72" s="225">
        <v>174568</v>
      </c>
      <c r="D72" s="225"/>
      <c r="E72" s="225"/>
      <c r="F72" s="225">
        <f>C72</f>
        <v>174568</v>
      </c>
      <c r="G72" s="225"/>
      <c r="H72" s="225"/>
      <c r="I72" s="225"/>
      <c r="J72" s="225"/>
      <c r="K72" s="225"/>
      <c r="L72" s="225"/>
      <c r="M72" s="225"/>
      <c r="N72" s="225"/>
      <c r="O72" s="225"/>
      <c r="P72" s="225"/>
      <c r="Q72" s="225"/>
      <c r="R72" s="916">
        <f>SUM(E72:Q72)</f>
        <v>174568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194868</v>
      </c>
      <c r="C74" s="224">
        <f>SUM(C69:C73)</f>
        <v>194868</v>
      </c>
      <c r="D74" s="224">
        <f>SUM(D69:D73)</f>
        <v>0</v>
      </c>
      <c r="E74" s="224">
        <f t="shared" ref="E74:Q74" si="18">SUM(E69:E73)</f>
        <v>0</v>
      </c>
      <c r="F74" s="224">
        <f t="shared" si="18"/>
        <v>194868</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194868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1528570</v>
      </c>
      <c r="C76" s="225">
        <v>1358420</v>
      </c>
      <c r="D76" s="225">
        <v>170150</v>
      </c>
      <c r="E76" s="225"/>
      <c r="F76" s="225"/>
      <c r="G76" s="225">
        <v>1358420</v>
      </c>
      <c r="H76" s="225">
        <v>170150</v>
      </c>
      <c r="I76" s="225"/>
      <c r="J76" s="225"/>
      <c r="K76" s="225"/>
      <c r="L76" s="225"/>
      <c r="M76" s="225"/>
      <c r="N76" s="225"/>
      <c r="O76" s="225"/>
      <c r="P76" s="225"/>
      <c r="Q76" s="225"/>
      <c r="R76" s="916">
        <f>SUM(E76:Q76)</f>
        <v>1528570</v>
      </c>
      <c r="S76" s="225">
        <v>1358420</v>
      </c>
      <c r="T76" s="225"/>
      <c r="U76" s="221"/>
    </row>
    <row r="77" spans="1:21" s="222" customFormat="1">
      <c r="A77" s="457" t="s">
        <v>63</v>
      </c>
      <c r="B77" s="224">
        <f>SUM(C77:D77)</f>
        <v>356237</v>
      </c>
      <c r="C77" s="225">
        <v>316583</v>
      </c>
      <c r="D77" s="225">
        <v>39654</v>
      </c>
      <c r="E77" s="225"/>
      <c r="F77" s="225"/>
      <c r="G77" s="225">
        <v>316583</v>
      </c>
      <c r="H77" s="225">
        <v>39654</v>
      </c>
      <c r="I77" s="225"/>
      <c r="J77" s="225"/>
      <c r="K77" s="225"/>
      <c r="L77" s="225"/>
      <c r="M77" s="225"/>
      <c r="N77" s="225"/>
      <c r="O77" s="225"/>
      <c r="P77" s="225"/>
      <c r="Q77" s="225"/>
      <c r="R77" s="916">
        <f>SUM(E77:Q77)</f>
        <v>356237</v>
      </c>
      <c r="S77" s="225">
        <v>316583</v>
      </c>
      <c r="T77" s="225"/>
      <c r="U77" s="221"/>
    </row>
    <row r="78" spans="1:21" s="222" customFormat="1">
      <c r="A78" s="227" t="s">
        <v>1468</v>
      </c>
      <c r="B78" s="224">
        <f>SUM(C78:D78)</f>
        <v>1884807</v>
      </c>
      <c r="C78" s="890">
        <f>SUM(C76:C77)</f>
        <v>1675003</v>
      </c>
      <c r="D78" s="890">
        <f t="shared" ref="D78:T78" si="19">SUM(D76:D77)</f>
        <v>209804</v>
      </c>
      <c r="E78" s="890">
        <f t="shared" si="19"/>
        <v>0</v>
      </c>
      <c r="F78" s="890">
        <f t="shared" si="19"/>
        <v>0</v>
      </c>
      <c r="G78" s="890">
        <f t="shared" si="19"/>
        <v>1675003</v>
      </c>
      <c r="H78" s="890">
        <f t="shared" si="19"/>
        <v>209804</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1884807</v>
      </c>
      <c r="S78" s="890">
        <f t="shared" si="19"/>
        <v>1675003</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33202</v>
      </c>
      <c r="C80" s="225">
        <v>33202</v>
      </c>
      <c r="D80" s="225"/>
      <c r="E80" s="225"/>
      <c r="F80" s="225">
        <f>C80</f>
        <v>33202</v>
      </c>
      <c r="G80" s="225"/>
      <c r="H80" s="225"/>
      <c r="I80" s="225"/>
      <c r="J80" s="225"/>
      <c r="K80" s="225"/>
      <c r="L80" s="225"/>
      <c r="M80" s="225"/>
      <c r="N80" s="225"/>
      <c r="O80" s="225"/>
      <c r="P80" s="225"/>
      <c r="Q80" s="225"/>
      <c r="R80" s="916">
        <f t="shared" ref="R80:R94" si="21">SUM(E80:Q80)</f>
        <v>33202</v>
      </c>
      <c r="S80" s="226"/>
      <c r="T80" s="226"/>
      <c r="U80" s="221"/>
    </row>
    <row r="81" spans="1:21" s="222" customFormat="1">
      <c r="A81" s="223" t="s">
        <v>845</v>
      </c>
      <c r="B81" s="224">
        <f t="shared" si="20"/>
        <v>4250</v>
      </c>
      <c r="C81" s="225">
        <v>3777</v>
      </c>
      <c r="D81" s="225">
        <v>473</v>
      </c>
      <c r="E81" s="225"/>
      <c r="F81" s="225"/>
      <c r="G81" s="225">
        <v>3777</v>
      </c>
      <c r="H81" s="225">
        <v>473</v>
      </c>
      <c r="I81" s="225"/>
      <c r="J81" s="225"/>
      <c r="K81" s="225"/>
      <c r="L81" s="225"/>
      <c r="M81" s="225"/>
      <c r="N81" s="225"/>
      <c r="O81" s="225"/>
      <c r="P81" s="225"/>
      <c r="Q81" s="225"/>
      <c r="R81" s="916">
        <f t="shared" si="21"/>
        <v>4250</v>
      </c>
      <c r="S81" s="225">
        <v>3777</v>
      </c>
      <c r="T81" s="225"/>
      <c r="U81" s="221"/>
    </row>
    <row r="82" spans="1:21" s="222" customFormat="1">
      <c r="A82" s="223" t="s">
        <v>846</v>
      </c>
      <c r="B82" s="224">
        <f t="shared" si="20"/>
        <v>2128135</v>
      </c>
      <c r="C82" s="225">
        <v>1182295</v>
      </c>
      <c r="D82" s="225">
        <v>945840</v>
      </c>
      <c r="E82" s="225"/>
      <c r="F82" s="225"/>
      <c r="G82" s="225">
        <v>1182295</v>
      </c>
      <c r="H82" s="225">
        <v>945840</v>
      </c>
      <c r="I82" s="225"/>
      <c r="J82" s="225"/>
      <c r="K82" s="225"/>
      <c r="L82" s="225"/>
      <c r="M82" s="225"/>
      <c r="N82" s="225"/>
      <c r="O82" s="225"/>
      <c r="P82" s="225"/>
      <c r="Q82" s="225"/>
      <c r="R82" s="916">
        <f t="shared" si="21"/>
        <v>2128135</v>
      </c>
      <c r="S82" s="225">
        <v>1182295</v>
      </c>
      <c r="T82" s="225"/>
      <c r="U82" s="221"/>
    </row>
    <row r="83" spans="1:21" s="222" customFormat="1">
      <c r="A83" s="223" t="s">
        <v>847</v>
      </c>
      <c r="B83" s="224">
        <f t="shared" si="20"/>
        <v>125000</v>
      </c>
      <c r="C83" s="225">
        <v>111086</v>
      </c>
      <c r="D83" s="225">
        <v>13914</v>
      </c>
      <c r="E83" s="225"/>
      <c r="F83" s="225"/>
      <c r="G83" s="225">
        <v>111086</v>
      </c>
      <c r="H83" s="225">
        <v>13914</v>
      </c>
      <c r="I83" s="225"/>
      <c r="J83" s="225"/>
      <c r="K83" s="225"/>
      <c r="L83" s="225"/>
      <c r="M83" s="225"/>
      <c r="N83" s="225"/>
      <c r="O83" s="225"/>
      <c r="P83" s="225"/>
      <c r="Q83" s="225"/>
      <c r="R83" s="916">
        <f t="shared" si="21"/>
        <v>125000</v>
      </c>
      <c r="S83" s="225">
        <v>111086</v>
      </c>
      <c r="T83" s="225"/>
      <c r="U83" s="221"/>
    </row>
    <row r="84" spans="1:21" s="222" customFormat="1">
      <c r="A84" s="223" t="s">
        <v>848</v>
      </c>
      <c r="B84" s="224">
        <f t="shared" si="20"/>
        <v>30000</v>
      </c>
      <c r="C84" s="225">
        <v>26661</v>
      </c>
      <c r="D84" s="225">
        <v>3339</v>
      </c>
      <c r="E84" s="225"/>
      <c r="F84" s="225"/>
      <c r="G84" s="225">
        <v>26661</v>
      </c>
      <c r="H84" s="225">
        <v>3339</v>
      </c>
      <c r="I84" s="225"/>
      <c r="J84" s="225"/>
      <c r="K84" s="225"/>
      <c r="L84" s="225"/>
      <c r="M84" s="225"/>
      <c r="N84" s="225"/>
      <c r="O84" s="225"/>
      <c r="P84" s="225"/>
      <c r="Q84" s="225"/>
      <c r="R84" s="916">
        <f t="shared" si="21"/>
        <v>30000</v>
      </c>
      <c r="S84" s="225">
        <v>26661</v>
      </c>
      <c r="T84" s="225"/>
      <c r="U84" s="221"/>
    </row>
    <row r="85" spans="1:21" s="222" customFormat="1">
      <c r="A85" s="223" t="s">
        <v>849</v>
      </c>
      <c r="B85" s="224">
        <f t="shared" si="20"/>
        <v>96998</v>
      </c>
      <c r="C85" s="225">
        <f>97000-2</f>
        <v>96998</v>
      </c>
      <c r="D85" s="225"/>
      <c r="E85" s="225"/>
      <c r="F85" s="225">
        <f>C85</f>
        <v>96998</v>
      </c>
      <c r="G85" s="225"/>
      <c r="H85" s="225"/>
      <c r="I85" s="225"/>
      <c r="J85" s="225"/>
      <c r="K85" s="225"/>
      <c r="L85" s="225"/>
      <c r="M85" s="225"/>
      <c r="N85" s="225"/>
      <c r="O85" s="225"/>
      <c r="P85" s="225"/>
      <c r="Q85" s="225"/>
      <c r="R85" s="916">
        <f t="shared" si="21"/>
        <v>96998</v>
      </c>
      <c r="S85" s="226"/>
      <c r="T85" s="226"/>
      <c r="U85" s="221"/>
    </row>
    <row r="86" spans="1:21" s="222" customFormat="1">
      <c r="A86" s="223" t="s">
        <v>850</v>
      </c>
      <c r="B86" s="224">
        <f t="shared" si="20"/>
        <v>60000</v>
      </c>
      <c r="C86" s="225">
        <v>60000</v>
      </c>
      <c r="D86" s="225"/>
      <c r="E86" s="225"/>
      <c r="F86" s="225">
        <v>60000</v>
      </c>
      <c r="G86" s="225"/>
      <c r="H86" s="225"/>
      <c r="I86" s="225"/>
      <c r="J86" s="225"/>
      <c r="K86" s="225"/>
      <c r="L86" s="225"/>
      <c r="M86" s="225"/>
      <c r="N86" s="225"/>
      <c r="O86" s="225"/>
      <c r="P86" s="225"/>
      <c r="Q86" s="225"/>
      <c r="R86" s="916">
        <f t="shared" si="21"/>
        <v>60000</v>
      </c>
      <c r="S86" s="225">
        <v>60000</v>
      </c>
      <c r="T86" s="225"/>
      <c r="U86" s="221"/>
    </row>
    <row r="87" spans="1:21" s="222" customFormat="1">
      <c r="A87" s="223" t="s">
        <v>851</v>
      </c>
      <c r="B87" s="224">
        <f t="shared" si="20"/>
        <v>19900</v>
      </c>
      <c r="C87" s="225">
        <v>19900</v>
      </c>
      <c r="D87" s="225"/>
      <c r="E87" s="225"/>
      <c r="F87" s="225">
        <v>19900</v>
      </c>
      <c r="G87" s="225"/>
      <c r="H87" s="225"/>
      <c r="I87" s="225"/>
      <c r="J87" s="225"/>
      <c r="K87" s="225"/>
      <c r="L87" s="225"/>
      <c r="M87" s="225"/>
      <c r="N87" s="225"/>
      <c r="O87" s="225"/>
      <c r="P87" s="225"/>
      <c r="Q87" s="225"/>
      <c r="R87" s="916">
        <f t="shared" si="21"/>
        <v>19900</v>
      </c>
      <c r="S87" s="225"/>
      <c r="T87" s="225"/>
      <c r="U87" s="221"/>
    </row>
    <row r="88" spans="1:21" s="222" customFormat="1">
      <c r="A88" s="234" t="s">
        <v>403</v>
      </c>
      <c r="B88" s="224">
        <f t="shared" si="20"/>
        <v>15000</v>
      </c>
      <c r="C88" s="225">
        <v>13330</v>
      </c>
      <c r="D88" s="225">
        <v>1670</v>
      </c>
      <c r="E88" s="225"/>
      <c r="F88" s="225"/>
      <c r="G88" s="225">
        <v>13330</v>
      </c>
      <c r="H88" s="225">
        <v>1670</v>
      </c>
      <c r="I88" s="225"/>
      <c r="J88" s="225"/>
      <c r="K88" s="225"/>
      <c r="L88" s="225"/>
      <c r="M88" s="225"/>
      <c r="N88" s="225"/>
      <c r="O88" s="225"/>
      <c r="P88" s="225"/>
      <c r="Q88" s="225"/>
      <c r="R88" s="916">
        <f t="shared" si="21"/>
        <v>15000</v>
      </c>
      <c r="S88" s="225">
        <v>13330</v>
      </c>
      <c r="T88" s="225"/>
      <c r="U88" s="221"/>
    </row>
    <row r="89" spans="1:21" s="222" customFormat="1">
      <c r="A89" s="889" t="s">
        <v>1470</v>
      </c>
      <c r="B89" s="224">
        <f t="shared" si="20"/>
        <v>12000</v>
      </c>
      <c r="C89" s="225">
        <v>10664</v>
      </c>
      <c r="D89" s="225">
        <v>1336</v>
      </c>
      <c r="E89" s="225"/>
      <c r="F89" s="225"/>
      <c r="G89" s="225">
        <v>10664</v>
      </c>
      <c r="H89" s="225">
        <v>1336</v>
      </c>
      <c r="I89" s="225"/>
      <c r="J89" s="225"/>
      <c r="K89" s="225"/>
      <c r="L89" s="225"/>
      <c r="M89" s="225"/>
      <c r="N89" s="225"/>
      <c r="O89" s="225"/>
      <c r="P89" s="225"/>
      <c r="Q89" s="225"/>
      <c r="R89" s="916">
        <f t="shared" si="21"/>
        <v>12000</v>
      </c>
      <c r="S89" s="225">
        <v>10664</v>
      </c>
      <c r="T89" s="225"/>
      <c r="U89" s="221"/>
    </row>
    <row r="90" spans="1:21" s="222" customFormat="1">
      <c r="A90" s="955" t="s">
        <v>1780</v>
      </c>
      <c r="B90" s="224">
        <f t="shared" si="20"/>
        <v>50000</v>
      </c>
      <c r="C90" s="225">
        <v>44434</v>
      </c>
      <c r="D90" s="225">
        <v>5566</v>
      </c>
      <c r="E90" s="225"/>
      <c r="F90" s="225"/>
      <c r="G90" s="225">
        <v>44434</v>
      </c>
      <c r="H90" s="225">
        <v>5566</v>
      </c>
      <c r="I90" s="225"/>
      <c r="J90" s="225"/>
      <c r="K90" s="225"/>
      <c r="L90" s="225"/>
      <c r="M90" s="225"/>
      <c r="N90" s="225"/>
      <c r="O90" s="225"/>
      <c r="P90" s="225"/>
      <c r="Q90" s="225"/>
      <c r="R90" s="916">
        <f t="shared" si="21"/>
        <v>50000</v>
      </c>
      <c r="S90" s="225">
        <v>44434</v>
      </c>
      <c r="T90" s="225"/>
      <c r="U90" s="221"/>
    </row>
    <row r="91" spans="1:21" s="222" customFormat="1">
      <c r="A91" s="955" t="s">
        <v>1781</v>
      </c>
      <c r="B91" s="224">
        <f t="shared" si="20"/>
        <v>110000</v>
      </c>
      <c r="C91" s="225">
        <v>97756</v>
      </c>
      <c r="D91" s="225">
        <v>12244</v>
      </c>
      <c r="E91" s="225"/>
      <c r="F91" s="225"/>
      <c r="G91" s="225">
        <v>97756</v>
      </c>
      <c r="H91" s="225">
        <v>12244</v>
      </c>
      <c r="I91" s="225"/>
      <c r="J91" s="225"/>
      <c r="K91" s="225"/>
      <c r="L91" s="225"/>
      <c r="M91" s="225"/>
      <c r="N91" s="225"/>
      <c r="O91" s="225"/>
      <c r="P91" s="225"/>
      <c r="Q91" s="225"/>
      <c r="R91" s="916">
        <f t="shared" si="21"/>
        <v>110000</v>
      </c>
      <c r="S91" s="225">
        <v>97756</v>
      </c>
      <c r="T91" s="225"/>
      <c r="U91" s="221"/>
    </row>
    <row r="92" spans="1:21" s="222" customFormat="1">
      <c r="A92" s="955" t="s">
        <v>1782</v>
      </c>
      <c r="B92" s="224">
        <f t="shared" si="20"/>
        <v>124998</v>
      </c>
      <c r="C92" s="225">
        <v>111086</v>
      </c>
      <c r="D92" s="225">
        <v>13912</v>
      </c>
      <c r="E92" s="225"/>
      <c r="F92" s="225"/>
      <c r="G92" s="225">
        <v>111086</v>
      </c>
      <c r="H92" s="225">
        <v>13912</v>
      </c>
      <c r="I92" s="225"/>
      <c r="J92" s="225"/>
      <c r="K92" s="225"/>
      <c r="L92" s="225"/>
      <c r="M92" s="225"/>
      <c r="N92" s="225"/>
      <c r="O92" s="225"/>
      <c r="P92" s="225"/>
      <c r="Q92" s="225"/>
      <c r="R92" s="916">
        <f t="shared" si="21"/>
        <v>124998</v>
      </c>
      <c r="S92" s="225">
        <v>111086</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955" t="s">
        <v>1783</v>
      </c>
      <c r="B94" s="224">
        <f t="shared" si="20"/>
        <v>26859</v>
      </c>
      <c r="C94" s="225">
        <v>23870</v>
      </c>
      <c r="D94" s="225">
        <v>2989</v>
      </c>
      <c r="E94" s="225"/>
      <c r="F94" s="225">
        <v>23870</v>
      </c>
      <c r="G94" s="225"/>
      <c r="H94" s="225">
        <v>2989</v>
      </c>
      <c r="I94" s="225"/>
      <c r="J94" s="225"/>
      <c r="K94" s="225"/>
      <c r="L94" s="225"/>
      <c r="M94" s="225"/>
      <c r="N94" s="225"/>
      <c r="O94" s="225"/>
      <c r="P94" s="225"/>
      <c r="Q94" s="225"/>
      <c r="R94" s="916">
        <f t="shared" si="21"/>
        <v>26859</v>
      </c>
      <c r="S94" s="225"/>
      <c r="T94" s="225"/>
      <c r="U94" s="221"/>
    </row>
    <row r="95" spans="1:21" s="222" customFormat="1">
      <c r="A95" s="227" t="s">
        <v>852</v>
      </c>
      <c r="B95" s="224">
        <f>SUM(C95:D95)</f>
        <v>2836342</v>
      </c>
      <c r="C95" s="224">
        <f t="shared" ref="C95:Q95" si="22">SUM(C80:C94)</f>
        <v>1835059</v>
      </c>
      <c r="D95" s="224">
        <f t="shared" si="22"/>
        <v>1001283</v>
      </c>
      <c r="E95" s="224">
        <f t="shared" si="22"/>
        <v>0</v>
      </c>
      <c r="F95" s="224">
        <f t="shared" si="22"/>
        <v>233970</v>
      </c>
      <c r="G95" s="224">
        <f t="shared" si="22"/>
        <v>1601089</v>
      </c>
      <c r="H95" s="224">
        <f t="shared" si="22"/>
        <v>1001283</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2836342</v>
      </c>
      <c r="S95" s="228">
        <f>SUM(S81:S84,S86:S94)</f>
        <v>1661089</v>
      </c>
      <c r="T95" s="224">
        <f>SUM(T81:T84,T86:T94)</f>
        <v>0</v>
      </c>
      <c r="U95" s="221"/>
    </row>
    <row r="96" spans="1:21" s="222" customFormat="1">
      <c r="A96" s="227" t="s">
        <v>853</v>
      </c>
      <c r="B96" s="224">
        <f>SUM(C96:D96)</f>
        <v>23444184</v>
      </c>
      <c r="C96" s="224">
        <f>SUM(C63+C67+C74+C78+C95)</f>
        <v>19176775</v>
      </c>
      <c r="D96" s="224">
        <f t="shared" ref="D96:R96" si="23">SUM(D63+D67+D74+D78+D95)</f>
        <v>4267409</v>
      </c>
      <c r="E96" s="224">
        <f t="shared" si="23"/>
        <v>7753255</v>
      </c>
      <c r="F96" s="224">
        <f t="shared" si="23"/>
        <v>4905391</v>
      </c>
      <c r="G96" s="224">
        <f t="shared" si="23"/>
        <v>6344004</v>
      </c>
      <c r="H96" s="224">
        <f t="shared" si="23"/>
        <v>4267409</v>
      </c>
      <c r="I96" s="224">
        <f t="shared" si="23"/>
        <v>174125</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23444184</v>
      </c>
      <c r="S96" s="224">
        <f>SUM(S63+S67+S78+S95)</f>
        <v>17853577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2410233</v>
      </c>
      <c r="C98" s="225">
        <v>2141943</v>
      </c>
      <c r="D98" s="225">
        <v>268290</v>
      </c>
      <c r="E98" s="225"/>
      <c r="F98" s="225">
        <f>B98-H98-J98-K98</f>
        <v>731609</v>
      </c>
      <c r="G98" s="225"/>
      <c r="H98" s="225">
        <f>4535700-4267768+359</f>
        <v>268291</v>
      </c>
      <c r="I98" s="225"/>
      <c r="J98" s="225">
        <v>1410233</v>
      </c>
      <c r="K98" s="225">
        <v>100</v>
      </c>
      <c r="L98" s="225"/>
      <c r="M98" s="225"/>
      <c r="N98" s="225"/>
      <c r="O98" s="225"/>
      <c r="P98" s="225"/>
      <c r="Q98" s="225"/>
      <c r="R98" s="916">
        <f t="shared" ref="R98:R103" si="25">SUM(E98:Q98)</f>
        <v>2410233</v>
      </c>
      <c r="S98" s="225">
        <v>2141943</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2410233</v>
      </c>
      <c r="C104" s="224">
        <f t="shared" ref="C104:T104" si="26">SUM(C98:C103)</f>
        <v>2141943</v>
      </c>
      <c r="D104" s="224">
        <f t="shared" si="26"/>
        <v>268290</v>
      </c>
      <c r="E104" s="224">
        <f t="shared" si="26"/>
        <v>0</v>
      </c>
      <c r="F104" s="224">
        <f t="shared" si="26"/>
        <v>731609</v>
      </c>
      <c r="G104" s="224">
        <f t="shared" si="26"/>
        <v>0</v>
      </c>
      <c r="H104" s="224">
        <f t="shared" si="26"/>
        <v>268291</v>
      </c>
      <c r="I104" s="224">
        <f t="shared" si="26"/>
        <v>0</v>
      </c>
      <c r="J104" s="224">
        <f t="shared" si="26"/>
        <v>1410233</v>
      </c>
      <c r="K104" s="224">
        <f t="shared" si="26"/>
        <v>100</v>
      </c>
      <c r="L104" s="224">
        <f t="shared" si="26"/>
        <v>0</v>
      </c>
      <c r="M104" s="224">
        <f t="shared" si="26"/>
        <v>0</v>
      </c>
      <c r="N104" s="224">
        <f t="shared" si="26"/>
        <v>0</v>
      </c>
      <c r="O104" s="224">
        <f t="shared" si="26"/>
        <v>0</v>
      </c>
      <c r="P104" s="224">
        <f t="shared" si="26"/>
        <v>0</v>
      </c>
      <c r="Q104" s="224">
        <f t="shared" si="26"/>
        <v>0</v>
      </c>
      <c r="R104" s="558">
        <f>SUM(R98:R103)</f>
        <v>2410233</v>
      </c>
      <c r="S104" s="228">
        <f t="shared" si="26"/>
        <v>2141943</v>
      </c>
      <c r="T104" s="228">
        <f t="shared" si="26"/>
        <v>0</v>
      </c>
      <c r="U104" s="221"/>
    </row>
    <row r="105" spans="1:21" s="222" customFormat="1">
      <c r="A105" s="227" t="s">
        <v>861</v>
      </c>
      <c r="B105" s="228">
        <f>SUM(C105:D105)</f>
        <v>25854417</v>
      </c>
      <c r="C105" s="228">
        <f t="shared" ref="C105:R105" si="27">SUM(C96+C104)</f>
        <v>21318718</v>
      </c>
      <c r="D105" s="228">
        <f t="shared" si="27"/>
        <v>4535699</v>
      </c>
      <c r="E105" s="228">
        <f t="shared" si="27"/>
        <v>7753255</v>
      </c>
      <c r="F105" s="228">
        <f t="shared" si="27"/>
        <v>5637000</v>
      </c>
      <c r="G105" s="228">
        <f t="shared" si="27"/>
        <v>6344004</v>
      </c>
      <c r="H105" s="228">
        <f t="shared" si="27"/>
        <v>4535700</v>
      </c>
      <c r="I105" s="228">
        <f t="shared" si="27"/>
        <v>174125</v>
      </c>
      <c r="J105" s="228">
        <f t="shared" si="27"/>
        <v>1410233</v>
      </c>
      <c r="K105" s="228">
        <f t="shared" si="27"/>
        <v>100</v>
      </c>
      <c r="L105" s="228">
        <f t="shared" si="27"/>
        <v>0</v>
      </c>
      <c r="M105" s="228">
        <f t="shared" si="27"/>
        <v>0</v>
      </c>
      <c r="N105" s="228">
        <f t="shared" si="27"/>
        <v>0</v>
      </c>
      <c r="O105" s="228">
        <f t="shared" si="27"/>
        <v>0</v>
      </c>
      <c r="P105" s="228">
        <f t="shared" si="27"/>
        <v>0</v>
      </c>
      <c r="Q105" s="228">
        <f t="shared" si="27"/>
        <v>0</v>
      </c>
      <c r="R105" s="558">
        <f t="shared" si="27"/>
        <v>25854417</v>
      </c>
      <c r="S105" s="228">
        <f>S96+S104</f>
        <v>19995520</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19995520</v>
      </c>
      <c r="T107" s="242">
        <f>T105+T106</f>
        <v>0</v>
      </c>
    </row>
    <row r="108" spans="1:21" s="310" customFormat="1">
      <c r="A108" s="241" t="s">
        <v>973</v>
      </c>
      <c r="B108" s="236"/>
      <c r="C108" s="236"/>
      <c r="D108" s="236"/>
      <c r="E108" s="481">
        <f>Application!AG631</f>
        <v>7753255</v>
      </c>
      <c r="F108" s="481">
        <f>Application!AG618</f>
        <v>5637000</v>
      </c>
      <c r="G108" s="481">
        <f>Application!AG619</f>
        <v>6344004</v>
      </c>
      <c r="H108" s="481">
        <f>Application!AG620</f>
        <v>4535700</v>
      </c>
      <c r="I108" s="481">
        <f>Application!AG621</f>
        <v>174125</v>
      </c>
      <c r="J108" s="481">
        <f>Application!AG622</f>
        <v>1410233</v>
      </c>
      <c r="K108" s="481">
        <f>Application!AG623</f>
        <v>100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9" t="s">
        <v>1493</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1136</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1137</v>
      </c>
      <c r="B125" s="544">
        <v>126952</v>
      </c>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1138</v>
      </c>
      <c r="B126" s="544">
        <v>75000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v>45000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3"/>
      <c r="E128" s="1603"/>
      <c r="F128" s="1603"/>
      <c r="G128" s="1603"/>
      <c r="H128" s="1603"/>
      <c r="I128" s="534"/>
      <c r="J128" s="1604"/>
      <c r="K128" s="1604"/>
      <c r="L128" s="534"/>
      <c r="M128" s="534"/>
      <c r="N128" s="534"/>
      <c r="O128" s="534"/>
      <c r="P128" s="534"/>
      <c r="Q128" s="534"/>
      <c r="R128" s="534"/>
      <c r="S128" s="534"/>
      <c r="T128" s="535"/>
      <c r="U128" s="537"/>
    </row>
    <row r="129" spans="1:21" ht="12.75">
      <c r="A129" s="534" t="s">
        <v>318</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246952</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11" t="s">
        <v>1144</v>
      </c>
      <c r="E132" s="1611"/>
      <c r="F132" s="1611"/>
      <c r="G132" s="1611"/>
      <c r="H132" s="1611"/>
      <c r="I132" s="534"/>
      <c r="J132" s="1611" t="s">
        <v>1145</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4"/>
      <c r="F138" s="1604"/>
      <c r="G138" s="534"/>
      <c r="H138" s="534"/>
      <c r="I138" s="534"/>
      <c r="J138" s="534"/>
      <c r="K138" s="534"/>
      <c r="L138" s="534"/>
      <c r="M138" s="534"/>
      <c r="N138" s="534"/>
      <c r="O138" s="534"/>
      <c r="P138" s="534"/>
      <c r="Q138" s="534"/>
      <c r="R138" s="534"/>
      <c r="S138" s="534"/>
      <c r="T138" s="541"/>
      <c r="U138" s="542"/>
    </row>
    <row r="139" spans="1:21" ht="12.75">
      <c r="A139" s="1607" t="s">
        <v>1148</v>
      </c>
      <c r="B139" s="1608"/>
      <c r="C139" s="160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7" zoomScaleNormal="100" zoomScaleSheetLayoutView="100" workbookViewId="0">
      <selection activeCell="B98" sqref="B98"/>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0" t="s">
        <v>1496</v>
      </c>
      <c r="B1" s="1621"/>
      <c r="C1" s="1621"/>
      <c r="D1" s="1621"/>
      <c r="E1" s="1621"/>
      <c r="F1" s="1621"/>
      <c r="G1" s="1621"/>
      <c r="H1" s="1621"/>
      <c r="I1" s="1621"/>
      <c r="J1" s="1622"/>
      <c r="K1" s="583"/>
    </row>
    <row r="2" spans="1:11" s="639" customFormat="1" ht="72">
      <c r="A2" s="635"/>
      <c r="B2" s="636" t="s">
        <v>1178</v>
      </c>
      <c r="C2" s="636" t="s">
        <v>1498</v>
      </c>
      <c r="D2" s="637" t="s">
        <v>1499</v>
      </c>
      <c r="E2" s="636" t="s">
        <v>1392</v>
      </c>
      <c r="F2" s="636" t="s">
        <v>1500</v>
      </c>
      <c r="G2" s="636" t="s">
        <v>1501</v>
      </c>
      <c r="H2" s="636" t="s">
        <v>1179</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v>1</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4826</v>
      </c>
      <c r="C6" s="590">
        <v>4826</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4827</v>
      </c>
      <c r="C8" s="589">
        <f>SUM(C4:C7)</f>
        <v>4827</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2506062</v>
      </c>
      <c r="C10" s="590">
        <v>2506062</v>
      </c>
      <c r="D10" s="590"/>
      <c r="E10" s="589">
        <f>'Sources and Uses Budget'!S10</f>
        <v>2506062</v>
      </c>
      <c r="F10" s="590">
        <v>2506062</v>
      </c>
      <c r="G10" s="590"/>
      <c r="H10" s="589">
        <f>'Sources and Uses Budget'!T10</f>
        <v>0</v>
      </c>
      <c r="I10" s="590"/>
      <c r="J10" s="590"/>
      <c r="K10" s="587"/>
    </row>
    <row r="11" spans="1:11" s="588" customFormat="1">
      <c r="A11" s="593" t="s">
        <v>646</v>
      </c>
      <c r="B11" s="589">
        <f>'Sources and Uses Budget'!C11</f>
        <v>2506062</v>
      </c>
      <c r="C11" s="589">
        <f>SUM(C9:C10)</f>
        <v>2506062</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2510889</v>
      </c>
      <c r="C12" s="589">
        <f>SUM(C8+C11)</f>
        <v>2510889</v>
      </c>
      <c r="D12" s="589">
        <f>SUM(D8+D11)</f>
        <v>0</v>
      </c>
      <c r="E12" s="591"/>
      <c r="F12" s="591"/>
      <c r="G12" s="591"/>
      <c r="H12" s="591"/>
      <c r="I12" s="591"/>
      <c r="J12" s="591"/>
      <c r="K12" s="587"/>
    </row>
    <row r="13" spans="1:11" s="588" customFormat="1">
      <c r="A13" s="594" t="s">
        <v>1000</v>
      </c>
      <c r="B13" s="589">
        <f>'Sources and Uses Budget'!C13</f>
        <v>14272</v>
      </c>
      <c r="C13" s="590">
        <v>14272</v>
      </c>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1583264</v>
      </c>
      <c r="C28" s="590">
        <v>1583264</v>
      </c>
      <c r="D28" s="590"/>
      <c r="E28" s="589">
        <f>'Sources and Uses Budget'!S28</f>
        <v>1583264</v>
      </c>
      <c r="F28" s="590">
        <v>1583264</v>
      </c>
      <c r="G28" s="590"/>
      <c r="H28" s="589">
        <f>'Sources and Uses Budget'!T28</f>
        <v>0</v>
      </c>
      <c r="I28" s="590"/>
      <c r="J28" s="590"/>
      <c r="K28" s="587"/>
    </row>
    <row r="29" spans="1:11" s="588" customFormat="1">
      <c r="A29" s="223" t="s">
        <v>649</v>
      </c>
      <c r="B29" s="589">
        <f>'Sources and Uses Budget'!C29</f>
        <v>7108092</v>
      </c>
      <c r="C29" s="590">
        <v>7108092</v>
      </c>
      <c r="D29" s="590"/>
      <c r="E29" s="589">
        <f>'Sources and Uses Budget'!S29</f>
        <v>7108092</v>
      </c>
      <c r="F29" s="590">
        <v>7108092</v>
      </c>
      <c r="G29" s="590"/>
      <c r="H29" s="589">
        <f>'Sources and Uses Budget'!T29</f>
        <v>0</v>
      </c>
      <c r="I29" s="590"/>
      <c r="J29" s="590"/>
      <c r="K29" s="587"/>
    </row>
    <row r="30" spans="1:11" s="588" customFormat="1">
      <c r="A30" s="223" t="s">
        <v>650</v>
      </c>
      <c r="B30" s="589">
        <f>'Sources and Uses Budget'!C30</f>
        <v>981266</v>
      </c>
      <c r="C30" s="590">
        <v>981266</v>
      </c>
      <c r="D30" s="590"/>
      <c r="E30" s="589">
        <f>'Sources and Uses Budget'!S30</f>
        <v>981266</v>
      </c>
      <c r="F30" s="590">
        <v>981266</v>
      </c>
      <c r="G30" s="590"/>
      <c r="H30" s="589">
        <f>'Sources and Uses Budget'!T30</f>
        <v>0</v>
      </c>
      <c r="I30" s="590"/>
      <c r="J30" s="590"/>
      <c r="K30" s="587"/>
    </row>
    <row r="31" spans="1:11" s="588" customFormat="1">
      <c r="A31" s="223" t="s">
        <v>144</v>
      </c>
      <c r="B31" s="589">
        <f>'Sources and Uses Budget'!C31</f>
        <v>128388</v>
      </c>
      <c r="C31" s="590">
        <v>128388</v>
      </c>
      <c r="D31" s="590"/>
      <c r="E31" s="589">
        <f>'Sources and Uses Budget'!S31</f>
        <v>128388</v>
      </c>
      <c r="F31" s="590">
        <v>128388</v>
      </c>
      <c r="G31" s="590"/>
      <c r="H31" s="589">
        <f>'Sources and Uses Budget'!T31</f>
        <v>0</v>
      </c>
      <c r="I31" s="590"/>
      <c r="J31" s="590"/>
      <c r="K31" s="587"/>
    </row>
    <row r="32" spans="1:11" s="588" customFormat="1">
      <c r="A32" s="223" t="s">
        <v>145</v>
      </c>
      <c r="B32" s="589">
        <f>'Sources and Uses Budget'!C32</f>
        <v>128388</v>
      </c>
      <c r="C32" s="590">
        <v>128388</v>
      </c>
      <c r="D32" s="590"/>
      <c r="E32" s="589">
        <f>'Sources and Uses Budget'!S32</f>
        <v>128388</v>
      </c>
      <c r="F32" s="590">
        <v>128388</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259603</v>
      </c>
      <c r="C34" s="590">
        <v>259603</v>
      </c>
      <c r="D34" s="590"/>
      <c r="E34" s="589">
        <f>'Sources and Uses Budget'!S34</f>
        <v>259603</v>
      </c>
      <c r="F34" s="590">
        <v>259603</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10189001</v>
      </c>
      <c r="C36" s="589">
        <f>SUM(C28:C35)</f>
        <v>10189001</v>
      </c>
      <c r="D36" s="589">
        <f>SUM(D28:D35)</f>
        <v>0</v>
      </c>
      <c r="E36" s="589">
        <f>'Sources and Uses Budget'!S36</f>
        <v>10189001</v>
      </c>
      <c r="F36" s="596">
        <f>SUM(F28:F35)</f>
        <v>10189001</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565812</v>
      </c>
      <c r="C38" s="590">
        <v>565812</v>
      </c>
      <c r="D38" s="590"/>
      <c r="E38" s="589">
        <f>'Sources and Uses Budget'!S38</f>
        <v>565812</v>
      </c>
      <c r="F38" s="590">
        <v>565812</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565812</v>
      </c>
      <c r="C40" s="589">
        <f>SUM(C37:C39)</f>
        <v>565812</v>
      </c>
      <c r="D40" s="589">
        <f>SUM(D37:D39)</f>
        <v>0</v>
      </c>
      <c r="E40" s="589">
        <f>'Sources and Uses Budget'!S40</f>
        <v>565812</v>
      </c>
      <c r="F40" s="596">
        <f>SUM(F38:F39)</f>
        <v>565812</v>
      </c>
      <c r="G40" s="596">
        <f>SUM(G38:G39)</f>
        <v>0</v>
      </c>
      <c r="H40" s="589">
        <f>'Sources and Uses Budget'!T40</f>
        <v>0</v>
      </c>
      <c r="I40" s="596">
        <f>SUM(I38:I39)</f>
        <v>0</v>
      </c>
      <c r="J40" s="596">
        <f>SUM(J38:J39)</f>
        <v>0</v>
      </c>
      <c r="K40" s="587"/>
    </row>
    <row r="41" spans="1:11" s="588" customFormat="1">
      <c r="A41" s="593" t="s">
        <v>155</v>
      </c>
      <c r="B41" s="589">
        <f>'Sources and Uses Budget'!C41</f>
        <v>314697</v>
      </c>
      <c r="C41" s="590">
        <v>314697</v>
      </c>
      <c r="D41" s="590"/>
      <c r="E41" s="589">
        <f>'Sources and Uses Budget'!S41</f>
        <v>314697</v>
      </c>
      <c r="F41" s="590">
        <v>314697</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998107</v>
      </c>
      <c r="C43" s="590">
        <v>998107</v>
      </c>
      <c r="D43" s="590"/>
      <c r="E43" s="589">
        <f>'Sources and Uses Budget'!S43</f>
        <v>618311</v>
      </c>
      <c r="F43" s="590">
        <v>618311</v>
      </c>
      <c r="G43" s="590"/>
      <c r="H43" s="589">
        <f>'Sources and Uses Budget'!T43</f>
        <v>0</v>
      </c>
      <c r="I43" s="590"/>
      <c r="J43" s="590"/>
      <c r="K43" s="587"/>
    </row>
    <row r="44" spans="1:11" s="588" customFormat="1">
      <c r="A44" s="592" t="s">
        <v>158</v>
      </c>
      <c r="B44" s="589">
        <f>'Sources and Uses Budget'!C44</f>
        <v>130045</v>
      </c>
      <c r="C44" s="590">
        <v>130045</v>
      </c>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277946</v>
      </c>
      <c r="C47" s="590">
        <v>277946</v>
      </c>
      <c r="D47" s="590"/>
      <c r="E47" s="589">
        <f>'Sources and Uses Budget'!S47</f>
        <v>0</v>
      </c>
      <c r="F47" s="590"/>
      <c r="G47" s="590"/>
      <c r="H47" s="589">
        <f>'Sources and Uses Budget'!T47</f>
        <v>0</v>
      </c>
      <c r="I47" s="590"/>
      <c r="J47" s="590"/>
      <c r="K47" s="587"/>
    </row>
    <row r="48" spans="1:11" s="588" customFormat="1">
      <c r="A48" s="592" t="s">
        <v>163</v>
      </c>
      <c r="B48" s="589">
        <f>'Sources and Uses Budget'!C48</f>
        <v>35547</v>
      </c>
      <c r="C48" s="590">
        <v>35547</v>
      </c>
      <c r="D48" s="590"/>
      <c r="E48" s="589">
        <f>'Sources and Uses Budget'!S48</f>
        <v>35547</v>
      </c>
      <c r="F48" s="590">
        <v>35547</v>
      </c>
      <c r="G48" s="590"/>
      <c r="H48" s="589">
        <f>'Sources and Uses Budget'!T48</f>
        <v>0</v>
      </c>
      <c r="I48" s="590"/>
      <c r="J48" s="590"/>
      <c r="K48" s="587"/>
    </row>
    <row r="49" spans="1:11" s="588" customFormat="1">
      <c r="A49" s="592" t="s">
        <v>161</v>
      </c>
      <c r="B49" s="589">
        <f>'Sources and Uses Budget'!C49</f>
        <v>53321</v>
      </c>
      <c r="C49" s="590">
        <v>53321</v>
      </c>
      <c r="D49" s="590"/>
      <c r="E49" s="589">
        <f>'Sources and Uses Budget'!S49</f>
        <v>53321</v>
      </c>
      <c r="F49" s="590">
        <v>53321</v>
      </c>
      <c r="G49" s="590"/>
      <c r="H49" s="589">
        <f>'Sources and Uses Budget'!T49</f>
        <v>0</v>
      </c>
      <c r="I49" s="590"/>
      <c r="J49" s="590"/>
      <c r="K49" s="587"/>
    </row>
    <row r="50" spans="1:11" s="588" customFormat="1">
      <c r="A50" s="592" t="s">
        <v>162</v>
      </c>
      <c r="B50" s="589">
        <f>'Sources and Uses Budget'!C50</f>
        <v>185856</v>
      </c>
      <c r="C50" s="590">
        <v>185856</v>
      </c>
      <c r="D50" s="590"/>
      <c r="E50" s="589">
        <f>'Sources and Uses Budget'!S50</f>
        <v>185856</v>
      </c>
      <c r="F50" s="590">
        <v>185856</v>
      </c>
      <c r="G50" s="590"/>
      <c r="H50" s="589">
        <f>'Sources and Uses Budget'!T50</f>
        <v>0</v>
      </c>
      <c r="I50" s="590"/>
      <c r="J50" s="590"/>
      <c r="K50" s="587"/>
    </row>
    <row r="51" spans="1:11" s="588" customFormat="1">
      <c r="A51" s="595" t="str">
        <f>'Sources and Uses Budget'!$A60</f>
        <v>Owner legal - perm</v>
      </c>
      <c r="B51" s="589">
        <f>'Sources and Uses Budget'!C51</f>
        <v>48878</v>
      </c>
      <c r="C51" s="590">
        <v>48878</v>
      </c>
      <c r="D51" s="590"/>
      <c r="E51" s="589">
        <f>'Sources and Uses Budget'!S51</f>
        <v>48878</v>
      </c>
      <c r="F51" s="590">
        <v>48878</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1729700</v>
      </c>
      <c r="C53" s="596">
        <f>SUM(C43:C52)</f>
        <v>1729700</v>
      </c>
      <c r="D53" s="596">
        <f>SUM(D43:D52)</f>
        <v>0</v>
      </c>
      <c r="E53" s="589">
        <f>'Sources and Uses Budget'!S53</f>
        <v>941913</v>
      </c>
      <c r="F53" s="596">
        <f>SUM(F43:F52)</f>
        <v>941913</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56370</v>
      </c>
      <c r="C55" s="590">
        <v>56370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22217</v>
      </c>
      <c r="C57" s="590">
        <v>22217</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Owner legal - perm</v>
      </c>
      <c r="B60" s="589">
        <f>'Sources and Uses Budget'!C60</f>
        <v>8887</v>
      </c>
      <c r="C60" s="590">
        <v>8887</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87474</v>
      </c>
      <c r="C62" s="589">
        <f>SUM(C55:C61)</f>
        <v>87474</v>
      </c>
      <c r="D62" s="589">
        <f>SUM(D55:D61)</f>
        <v>0</v>
      </c>
      <c r="E62" s="591"/>
      <c r="F62" s="591"/>
      <c r="G62" s="591"/>
      <c r="H62" s="591"/>
      <c r="I62" s="591"/>
      <c r="J62" s="591"/>
      <c r="K62" s="587"/>
    </row>
    <row r="63" spans="1:11" s="588" customFormat="1">
      <c r="A63" s="600" t="s">
        <v>320</v>
      </c>
      <c r="B63" s="589">
        <f>'Sources and Uses Budget'!C63</f>
        <v>15411845</v>
      </c>
      <c r="C63" s="589">
        <f>SUM(C8+C11+C13+C14+C15+C25+C26+C36+C40+C41+C53+C62)</f>
        <v>15411845</v>
      </c>
      <c r="D63" s="589">
        <f>SUM(D8+D11+D13+D14+D15+D25+D26+D36+D40+D41+D53+D62)</f>
        <v>0</v>
      </c>
      <c r="E63" s="589">
        <f>'Sources and Uses Budget'!S63</f>
        <v>14517485</v>
      </c>
      <c r="F63" s="589">
        <f>SUM(F10+F13+F14+F15+F25+F26+F36+F40+F41+F53)</f>
        <v>14517485</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60000</v>
      </c>
      <c r="C65" s="590">
        <v>60000</v>
      </c>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60000</v>
      </c>
      <c r="C67" s="589">
        <f>SUM(C64:C66)</f>
        <v>60000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20300</v>
      </c>
      <c r="C70" s="590">
        <v>20300</v>
      </c>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174568</v>
      </c>
      <c r="C72" s="590">
        <v>174568</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194868</v>
      </c>
      <c r="C74" s="589">
        <f>SUM(C69:C73)</f>
        <v>194868</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1358420</v>
      </c>
      <c r="C76" s="590">
        <v>1358420</v>
      </c>
      <c r="D76" s="590"/>
      <c r="E76" s="589">
        <f>'Sources and Uses Budget'!S76</f>
        <v>1358420</v>
      </c>
      <c r="F76" s="590">
        <v>1358420</v>
      </c>
      <c r="G76" s="590"/>
      <c r="H76" s="589">
        <f>'Sources and Uses Budget'!T76</f>
        <v>0</v>
      </c>
      <c r="I76" s="590"/>
      <c r="J76" s="590"/>
      <c r="K76" s="587"/>
    </row>
    <row r="77" spans="1:11" s="588" customFormat="1">
      <c r="A77" s="592" t="s">
        <v>63</v>
      </c>
      <c r="B77" s="589">
        <f>'Sources and Uses Budget'!C77</f>
        <v>316583</v>
      </c>
      <c r="C77" s="590">
        <v>316583</v>
      </c>
      <c r="D77" s="590"/>
      <c r="E77" s="589">
        <f>'Sources and Uses Budget'!S77</f>
        <v>316583</v>
      </c>
      <c r="F77" s="590">
        <v>316583</v>
      </c>
      <c r="G77" s="590"/>
      <c r="H77" s="589">
        <f>'Sources and Uses Budget'!T77</f>
        <v>0</v>
      </c>
      <c r="I77" s="590"/>
      <c r="J77" s="590"/>
      <c r="K77" s="587"/>
    </row>
    <row r="78" spans="1:11" s="588" customFormat="1">
      <c r="A78" s="593" t="s">
        <v>1468</v>
      </c>
      <c r="B78" s="589">
        <f>'Sources and Uses Budget'!C78</f>
        <v>1675003</v>
      </c>
      <c r="C78" s="589">
        <f>SUM(C76:C77)</f>
        <v>1675003</v>
      </c>
      <c r="D78" s="589">
        <f>SUM(D76:D77)</f>
        <v>0</v>
      </c>
      <c r="E78" s="589">
        <f>'Sources and Uses Budget'!S78</f>
        <v>1675003</v>
      </c>
      <c r="F78" s="589">
        <f>SUM(F76:F77)</f>
        <v>1675003</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33202</v>
      </c>
      <c r="C80" s="590">
        <v>33202</v>
      </c>
      <c r="D80" s="590"/>
      <c r="E80" s="591"/>
      <c r="F80" s="591"/>
      <c r="G80" s="591"/>
      <c r="H80" s="591"/>
      <c r="I80" s="591"/>
      <c r="J80" s="591"/>
      <c r="K80" s="587"/>
    </row>
    <row r="81" spans="1:11" s="588" customFormat="1">
      <c r="A81" s="223" t="s">
        <v>845</v>
      </c>
      <c r="B81" s="589">
        <f>'Sources and Uses Budget'!C81</f>
        <v>3777</v>
      </c>
      <c r="C81" s="590">
        <v>3777</v>
      </c>
      <c r="D81" s="590"/>
      <c r="E81" s="589">
        <f>'Sources and Uses Budget'!S81</f>
        <v>3777</v>
      </c>
      <c r="F81" s="590">
        <v>3777</v>
      </c>
      <c r="G81" s="590"/>
      <c r="H81" s="589">
        <f>'Sources and Uses Budget'!T81</f>
        <v>0</v>
      </c>
      <c r="I81" s="590"/>
      <c r="J81" s="590"/>
      <c r="K81" s="587"/>
    </row>
    <row r="82" spans="1:11" s="588" customFormat="1">
      <c r="A82" s="223" t="s">
        <v>846</v>
      </c>
      <c r="B82" s="589">
        <f>'Sources and Uses Budget'!C82</f>
        <v>1182295</v>
      </c>
      <c r="C82" s="590">
        <v>1182295</v>
      </c>
      <c r="D82" s="590"/>
      <c r="E82" s="589">
        <f>'Sources and Uses Budget'!S82</f>
        <v>1182295</v>
      </c>
      <c r="F82" s="590">
        <v>1182295</v>
      </c>
      <c r="G82" s="590"/>
      <c r="H82" s="589">
        <f>'Sources and Uses Budget'!T82</f>
        <v>0</v>
      </c>
      <c r="I82" s="590"/>
      <c r="J82" s="590"/>
      <c r="K82" s="587"/>
    </row>
    <row r="83" spans="1:11" s="588" customFormat="1">
      <c r="A83" s="223" t="s">
        <v>847</v>
      </c>
      <c r="B83" s="589">
        <f>'Sources and Uses Budget'!C83</f>
        <v>111086</v>
      </c>
      <c r="C83" s="590">
        <v>111086</v>
      </c>
      <c r="D83" s="590"/>
      <c r="E83" s="589">
        <f>'Sources and Uses Budget'!S83</f>
        <v>111086</v>
      </c>
      <c r="F83" s="590">
        <v>111086</v>
      </c>
      <c r="G83" s="590"/>
      <c r="H83" s="589">
        <f>'Sources and Uses Budget'!T83</f>
        <v>0</v>
      </c>
      <c r="I83" s="590"/>
      <c r="J83" s="590"/>
      <c r="K83" s="587"/>
    </row>
    <row r="84" spans="1:11" s="588" customFormat="1">
      <c r="A84" s="223" t="s">
        <v>848</v>
      </c>
      <c r="B84" s="589">
        <f>'Sources and Uses Budget'!C84</f>
        <v>26661</v>
      </c>
      <c r="C84" s="590">
        <v>26661</v>
      </c>
      <c r="D84" s="590"/>
      <c r="E84" s="589">
        <f>'Sources and Uses Budget'!S84</f>
        <v>26661</v>
      </c>
      <c r="F84" s="590">
        <v>26661</v>
      </c>
      <c r="G84" s="590"/>
      <c r="H84" s="589">
        <f>'Sources and Uses Budget'!T84</f>
        <v>0</v>
      </c>
      <c r="I84" s="590"/>
      <c r="J84" s="590"/>
      <c r="K84" s="587"/>
    </row>
    <row r="85" spans="1:11" s="588" customFormat="1">
      <c r="A85" s="223" t="s">
        <v>849</v>
      </c>
      <c r="B85" s="589">
        <f>'Sources and Uses Budget'!C85</f>
        <v>96998</v>
      </c>
      <c r="C85" s="590">
        <v>96998</v>
      </c>
      <c r="D85" s="590"/>
      <c r="E85" s="591"/>
      <c r="F85" s="591"/>
      <c r="G85" s="591"/>
      <c r="H85" s="591"/>
      <c r="I85" s="591"/>
      <c r="J85" s="591"/>
      <c r="K85" s="587"/>
    </row>
    <row r="86" spans="1:11" s="588" customFormat="1">
      <c r="A86" s="223" t="s">
        <v>850</v>
      </c>
      <c r="B86" s="589">
        <f>'Sources and Uses Budget'!C86</f>
        <v>60000</v>
      </c>
      <c r="C86" s="590">
        <v>60000</v>
      </c>
      <c r="D86" s="590"/>
      <c r="E86" s="589">
        <f>'Sources and Uses Budget'!S86</f>
        <v>60000</v>
      </c>
      <c r="F86" s="590">
        <v>60000</v>
      </c>
      <c r="G86" s="590"/>
      <c r="H86" s="589">
        <f>'Sources and Uses Budget'!T86</f>
        <v>0</v>
      </c>
      <c r="I86" s="590"/>
      <c r="J86" s="590"/>
      <c r="K86" s="587"/>
    </row>
    <row r="87" spans="1:11" s="588" customFormat="1">
      <c r="A87" s="223" t="s">
        <v>851</v>
      </c>
      <c r="B87" s="589">
        <f>'Sources and Uses Budget'!C87</f>
        <v>19900</v>
      </c>
      <c r="C87" s="590">
        <v>19900</v>
      </c>
      <c r="D87" s="590"/>
      <c r="E87" s="589">
        <f>'Sources and Uses Budget'!S87</f>
        <v>0</v>
      </c>
      <c r="F87" s="590"/>
      <c r="G87" s="590"/>
      <c r="H87" s="589">
        <f>'Sources and Uses Budget'!T87</f>
        <v>0</v>
      </c>
      <c r="I87" s="590"/>
      <c r="J87" s="590"/>
      <c r="K87" s="587"/>
    </row>
    <row r="88" spans="1:11" s="588" customFormat="1">
      <c r="A88" s="234" t="s">
        <v>403</v>
      </c>
      <c r="B88" s="589">
        <f>'Sources and Uses Budget'!C88</f>
        <v>13330</v>
      </c>
      <c r="C88" s="590">
        <v>13330</v>
      </c>
      <c r="D88" s="590"/>
      <c r="E88" s="589">
        <f>'Sources and Uses Budget'!S88</f>
        <v>13330</v>
      </c>
      <c r="F88" s="590">
        <v>13330</v>
      </c>
      <c r="G88" s="590"/>
      <c r="H88" s="589">
        <f>'Sources and Uses Budget'!T88</f>
        <v>0</v>
      </c>
      <c r="I88" s="590"/>
      <c r="J88" s="590"/>
      <c r="K88" s="587"/>
    </row>
    <row r="89" spans="1:11" s="588" customFormat="1">
      <c r="A89" s="889" t="s">
        <v>1470</v>
      </c>
      <c r="B89" s="589">
        <f>'Sources and Uses Budget'!C89</f>
        <v>10664</v>
      </c>
      <c r="C89" s="590">
        <v>10664</v>
      </c>
      <c r="D89" s="590"/>
      <c r="E89" s="589">
        <f>'Sources and Uses Budget'!S89</f>
        <v>10664</v>
      </c>
      <c r="F89" s="590">
        <v>10664</v>
      </c>
      <c r="G89" s="590"/>
      <c r="H89" s="589">
        <f>'Sources and Uses Budget'!T89</f>
        <v>0</v>
      </c>
      <c r="I89" s="590"/>
      <c r="J89" s="590"/>
      <c r="K89" s="587"/>
    </row>
    <row r="90" spans="1:11" s="588" customFormat="1">
      <c r="A90" s="595" t="str">
        <f>'Sources and Uses Budget'!$A90</f>
        <v>HERS Rater/GPR</v>
      </c>
      <c r="B90" s="589">
        <f>'Sources and Uses Budget'!C90</f>
        <v>44434</v>
      </c>
      <c r="C90" s="590">
        <v>44434</v>
      </c>
      <c r="D90" s="590"/>
      <c r="E90" s="589">
        <f>'Sources and Uses Budget'!S90</f>
        <v>44434</v>
      </c>
      <c r="F90" s="590">
        <v>44434</v>
      </c>
      <c r="G90" s="590"/>
      <c r="H90" s="589">
        <f>'Sources and Uses Budget'!T90</f>
        <v>0</v>
      </c>
      <c r="I90" s="590"/>
      <c r="J90" s="590"/>
      <c r="K90" s="587"/>
    </row>
    <row r="91" spans="1:11" s="588" customFormat="1">
      <c r="A91" s="595" t="str">
        <f>'Sources and Uses Budget'!$A91</f>
        <v>Construction Supervision</v>
      </c>
      <c r="B91" s="589">
        <f>'Sources and Uses Budget'!C91</f>
        <v>97756</v>
      </c>
      <c r="C91" s="590">
        <v>97756</v>
      </c>
      <c r="D91" s="590"/>
      <c r="E91" s="589">
        <f>'Sources and Uses Budget'!S91</f>
        <v>97756</v>
      </c>
      <c r="F91" s="590">
        <v>97756</v>
      </c>
      <c r="G91" s="590"/>
      <c r="H91" s="589">
        <f>'Sources and Uses Budget'!T91</f>
        <v>0</v>
      </c>
      <c r="I91" s="590"/>
      <c r="J91" s="590"/>
      <c r="K91" s="587"/>
    </row>
    <row r="92" spans="1:11" s="588" customFormat="1">
      <c r="A92" s="595" t="str">
        <f>'Sources and Uses Budget'!$A92</f>
        <v>Entitlement Consulting</v>
      </c>
      <c r="B92" s="589">
        <f>'Sources and Uses Budget'!C92</f>
        <v>111086</v>
      </c>
      <c r="C92" s="590">
        <v>111086</v>
      </c>
      <c r="D92" s="590"/>
      <c r="E92" s="589">
        <f>'Sources and Uses Budget'!S92</f>
        <v>111086</v>
      </c>
      <c r="F92" s="590">
        <v>111086</v>
      </c>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Predevelopment Interest</v>
      </c>
      <c r="B94" s="589">
        <f>'Sources and Uses Budget'!C94</f>
        <v>23870</v>
      </c>
      <c r="C94" s="590">
        <v>23870</v>
      </c>
      <c r="D94" s="590"/>
      <c r="E94" s="589">
        <f>'Sources and Uses Budget'!S94</f>
        <v>0</v>
      </c>
      <c r="F94" s="590"/>
      <c r="G94" s="590"/>
      <c r="H94" s="589">
        <f>'Sources and Uses Budget'!T94</f>
        <v>0</v>
      </c>
      <c r="I94" s="590"/>
      <c r="J94" s="590"/>
      <c r="K94" s="587"/>
    </row>
    <row r="95" spans="1:11" s="588" customFormat="1">
      <c r="A95" s="593" t="s">
        <v>852</v>
      </c>
      <c r="B95" s="589">
        <f>'Sources and Uses Budget'!C95</f>
        <v>1835059</v>
      </c>
      <c r="C95" s="589">
        <f>SUM(C80:C94)</f>
        <v>1835059</v>
      </c>
      <c r="D95" s="589">
        <f>SUM(D80:D94)</f>
        <v>0</v>
      </c>
      <c r="E95" s="589">
        <f>'Sources and Uses Budget'!S95</f>
        <v>1661089</v>
      </c>
      <c r="F95" s="596">
        <f>SUM(F81:F84,F86:F94)</f>
        <v>1661089</v>
      </c>
      <c r="G95" s="596">
        <f>SUM(G81:G84,G86:G94)</f>
        <v>0</v>
      </c>
      <c r="H95" s="589">
        <f>'Sources and Uses Budget'!T95</f>
        <v>0</v>
      </c>
      <c r="I95" s="589">
        <f>SUM(I81:I84,I86:I94)</f>
        <v>0</v>
      </c>
      <c r="J95" s="589">
        <f>SUM(J81:J84,J86:J94)</f>
        <v>0</v>
      </c>
      <c r="K95" s="587"/>
    </row>
    <row r="96" spans="1:11" s="588" customFormat="1">
      <c r="A96" s="593" t="s">
        <v>1180</v>
      </c>
      <c r="B96" s="589">
        <f>'Sources and Uses Budget'!C96</f>
        <v>19176775</v>
      </c>
      <c r="C96" s="589">
        <f>SUM(C63+C67+C74+C78+C95)</f>
        <v>19176775</v>
      </c>
      <c r="D96" s="589">
        <f>SUM(D63+D67+D74+D78+D95)</f>
        <v>0</v>
      </c>
      <c r="E96" s="589">
        <f>'Sources and Uses Budget'!S96</f>
        <v>17853577</v>
      </c>
      <c r="F96" s="596">
        <f>SUM(+F63+F67+F78+F95)</f>
        <v>17853577</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2141943</v>
      </c>
      <c r="C98" s="590">
        <v>2141943</v>
      </c>
      <c r="D98" s="590"/>
      <c r="E98" s="589">
        <f>'Sources and Uses Budget'!S98</f>
        <v>2141943</v>
      </c>
      <c r="F98" s="590">
        <v>2141943</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2141943</v>
      </c>
      <c r="C104" s="589">
        <f>SUM(C98:C103)</f>
        <v>2141943</v>
      </c>
      <c r="D104" s="589">
        <f>SUM(D98:D103)</f>
        <v>0</v>
      </c>
      <c r="E104" s="589">
        <f>'Sources and Uses Budget'!S104</f>
        <v>2141943</v>
      </c>
      <c r="F104" s="596">
        <f>SUM(F98:F103)</f>
        <v>2141943</v>
      </c>
      <c r="G104" s="596">
        <f>SUM(G98:G103)</f>
        <v>0</v>
      </c>
      <c r="H104" s="589">
        <f>'Sources and Uses Budget'!T104</f>
        <v>0</v>
      </c>
      <c r="I104" s="596">
        <f>SUM(I98:I103)</f>
        <v>0</v>
      </c>
      <c r="J104" s="596">
        <f>SUM(J98:J103)</f>
        <v>0</v>
      </c>
      <c r="K104" s="587"/>
    </row>
    <row r="105" spans="1:11" s="588" customFormat="1">
      <c r="A105" s="593" t="s">
        <v>1181</v>
      </c>
      <c r="B105" s="589">
        <f>'Sources and Uses Budget'!C105</f>
        <v>21318718</v>
      </c>
      <c r="C105" s="596">
        <f>SUM(C96+C104)</f>
        <v>21318718</v>
      </c>
      <c r="D105" s="596">
        <f>SUM(D96+D104)</f>
        <v>0</v>
      </c>
      <c r="E105" s="589">
        <f>'Sources and Uses Budget'!S105</f>
        <v>19995520</v>
      </c>
      <c r="F105" s="596">
        <f>F96+F104</f>
        <v>19995520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19995520</v>
      </c>
      <c r="F107" s="605">
        <f>F105+F106</f>
        <v>19995520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2.75">
      <c r="A125" s="618"/>
      <c r="B125" s="617"/>
      <c r="C125" s="618"/>
      <c r="D125" s="1615"/>
      <c r="E125" s="1615"/>
      <c r="F125" s="1615"/>
      <c r="G125" s="1615"/>
      <c r="H125" s="1615"/>
      <c r="I125" s="1615"/>
      <c r="J125" s="607"/>
      <c r="K125" s="587"/>
    </row>
    <row r="126" spans="1:11" s="588" customFormat="1" ht="12.75">
      <c r="A126" s="618"/>
      <c r="B126" s="617"/>
      <c r="C126" s="618"/>
      <c r="D126" s="1615"/>
      <c r="E126" s="1615"/>
      <c r="F126" s="1615"/>
      <c r="G126" s="1615"/>
      <c r="H126" s="1615"/>
      <c r="I126" s="161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6" zoomScaleNormal="100" zoomScaleSheetLayoutView="100" workbookViewId="0">
      <selection activeCell="K10" sqref="K1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0" t="s">
        <v>1600</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406</v>
      </c>
      <c r="C11" s="1639"/>
      <c r="D11" s="1639"/>
      <c r="E11" s="1639"/>
      <c r="F11" s="1639"/>
      <c r="G11" s="1639"/>
      <c r="H11" s="1639"/>
      <c r="I11" s="1639"/>
      <c r="J11" s="1639"/>
      <c r="K11" s="1639"/>
      <c r="L11" s="1639"/>
      <c r="M11" s="1639"/>
      <c r="N11" s="1639"/>
      <c r="O11" s="1639"/>
      <c r="P11" s="1639"/>
      <c r="Q11" s="1639"/>
      <c r="R11" s="1639"/>
      <c r="S11" s="1640"/>
      <c r="T11" s="1682">
        <f>IF('Sources and Basis Breakdown'!F107=0,'Sources and Basis Breakdown'!E107,'Sources and Basis Breakdown'!F107)</f>
        <v>19995520</v>
      </c>
      <c r="U11" s="1683"/>
      <c r="V11" s="1683"/>
      <c r="W11" s="1683"/>
      <c r="X11" s="1683"/>
      <c r="Y11" s="1682">
        <f>IF(Y7=" ",0,IF('Sources and Basis Breakdown'!G107+'Sources and Basis Breakdown'!F107='Sources and Basis Breakdown'!E107,'Sources and Basis Breakdown'!G107,0))</f>
        <v>0</v>
      </c>
      <c r="Z11" s="1683"/>
      <c r="AA11" s="1683"/>
      <c r="AB11" s="1683"/>
      <c r="AC11" s="1683"/>
      <c r="AD11" s="1683">
        <f>IF('Sources and Basis Breakdown'!I107=0,'Sources and Basis Breakdown'!H107,'Sources and Basis Breakdown'!I107)</f>
        <v>0</v>
      </c>
      <c r="AE11" s="1683"/>
      <c r="AF11" s="1683"/>
      <c r="AG11" s="1683"/>
      <c r="AH11" s="1683"/>
      <c r="AI11" s="1683">
        <f>IF(Y7=" ",0,IF('Sources and Basis Breakdown'!I107+'Sources and Basis Breakdown'!J107='Sources and Basis Breakdown'!H107,'Sources and Basis Breakdown'!J107,0))</f>
        <v>0</v>
      </c>
      <c r="AJ11" s="1683"/>
      <c r="AK11" s="1683"/>
      <c r="AL11" s="1683"/>
      <c r="AM11" s="168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6" t="s">
        <v>543</v>
      </c>
      <c r="C12" s="1687"/>
      <c r="D12" s="1687"/>
      <c r="E12" s="1687"/>
      <c r="F12" s="1687"/>
      <c r="G12" s="1687"/>
      <c r="H12" s="1687"/>
      <c r="I12" s="1687"/>
      <c r="J12" s="1687"/>
      <c r="K12" s="1687"/>
      <c r="L12" s="1687"/>
      <c r="M12" s="1687"/>
      <c r="N12" s="1687"/>
      <c r="O12" s="1687"/>
      <c r="P12" s="1687"/>
      <c r="Q12" s="1687"/>
      <c r="R12" s="1687"/>
      <c r="S12" s="1688"/>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9" t="s">
        <v>544</v>
      </c>
      <c r="D13" s="1689"/>
      <c r="E13" s="1689"/>
      <c r="F13" s="1689"/>
      <c r="G13" s="1689"/>
      <c r="H13" s="1689"/>
      <c r="I13" s="1689"/>
      <c r="J13" s="1689"/>
      <c r="K13" s="1689"/>
      <c r="L13" s="1689"/>
      <c r="M13" s="1689"/>
      <c r="N13" s="1689"/>
      <c r="O13" s="1689"/>
      <c r="P13" s="1689"/>
      <c r="Q13" s="1689"/>
      <c r="R13" s="1689"/>
      <c r="S13" s="1690"/>
      <c r="T13" s="1678"/>
      <c r="U13" s="1679"/>
      <c r="V13" s="1679"/>
      <c r="W13" s="1679"/>
      <c r="X13" s="1679"/>
      <c r="Y13" s="1678"/>
      <c r="Z13" s="1679"/>
      <c r="AA13" s="1679"/>
      <c r="AB13" s="1679"/>
      <c r="AC13" s="1679"/>
      <c r="AD13" s="1679"/>
      <c r="AE13" s="1679"/>
      <c r="AF13" s="1679"/>
      <c r="AG13" s="1679"/>
      <c r="AH13" s="1679"/>
      <c r="AI13" s="1679"/>
      <c r="AJ13" s="1679"/>
      <c r="AK13" s="1679"/>
      <c r="AL13" s="1679"/>
      <c r="AM13" s="167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9" t="s">
        <v>545</v>
      </c>
      <c r="D14" s="1689"/>
      <c r="E14" s="1689"/>
      <c r="F14" s="1689"/>
      <c r="G14" s="1689"/>
      <c r="H14" s="1689"/>
      <c r="I14" s="1689"/>
      <c r="J14" s="1689"/>
      <c r="K14" s="1689"/>
      <c r="L14" s="1689"/>
      <c r="M14" s="1689"/>
      <c r="N14" s="1689"/>
      <c r="O14" s="1689"/>
      <c r="P14" s="1689"/>
      <c r="Q14" s="1689"/>
      <c r="R14" s="1689"/>
      <c r="S14" s="1690"/>
      <c r="T14" s="1676"/>
      <c r="U14" s="1677"/>
      <c r="V14" s="1677"/>
      <c r="W14" s="1677"/>
      <c r="X14" s="1677"/>
      <c r="Y14" s="1676"/>
      <c r="Z14" s="1677"/>
      <c r="AA14" s="1677"/>
      <c r="AB14" s="1677"/>
      <c r="AC14" s="1677"/>
      <c r="AD14" s="1677"/>
      <c r="AE14" s="1677"/>
      <c r="AF14" s="1677"/>
      <c r="AG14" s="1677"/>
      <c r="AH14" s="1677"/>
      <c r="AI14" s="1677"/>
      <c r="AJ14" s="1677"/>
      <c r="AK14" s="1677"/>
      <c r="AL14" s="1677"/>
      <c r="AM14" s="167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9" t="s">
        <v>546</v>
      </c>
      <c r="D15" s="1689"/>
      <c r="E15" s="1689"/>
      <c r="F15" s="1689"/>
      <c r="G15" s="1689"/>
      <c r="H15" s="1689"/>
      <c r="I15" s="1689"/>
      <c r="J15" s="1689"/>
      <c r="K15" s="1689"/>
      <c r="L15" s="1689"/>
      <c r="M15" s="1689"/>
      <c r="N15" s="1689"/>
      <c r="O15" s="1689"/>
      <c r="P15" s="1689"/>
      <c r="Q15" s="1689"/>
      <c r="R15" s="1689"/>
      <c r="S15" s="1690"/>
      <c r="T15" s="1676"/>
      <c r="U15" s="1677"/>
      <c r="V15" s="1677"/>
      <c r="W15" s="1677"/>
      <c r="X15" s="1677"/>
      <c r="Y15" s="1676"/>
      <c r="Z15" s="1677"/>
      <c r="AA15" s="1677"/>
      <c r="AB15" s="1677"/>
      <c r="AC15" s="1677"/>
      <c r="AD15" s="1677"/>
      <c r="AE15" s="1677"/>
      <c r="AF15" s="1677"/>
      <c r="AG15" s="1677"/>
      <c r="AH15" s="1677"/>
      <c r="AI15" s="1677"/>
      <c r="AJ15" s="1677"/>
      <c r="AK15" s="1677"/>
      <c r="AL15" s="1677"/>
      <c r="AM15" s="167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9" t="s">
        <v>887</v>
      </c>
      <c r="D16" s="1689"/>
      <c r="E16" s="1689"/>
      <c r="F16" s="1689"/>
      <c r="G16" s="1689"/>
      <c r="H16" s="1689"/>
      <c r="I16" s="1689"/>
      <c r="J16" s="1689"/>
      <c r="K16" s="1689"/>
      <c r="L16" s="1689"/>
      <c r="M16" s="1689"/>
      <c r="N16" s="1689"/>
      <c r="O16" s="1689"/>
      <c r="P16" s="1689"/>
      <c r="Q16" s="1689"/>
      <c r="R16" s="1689"/>
      <c r="S16" s="1690"/>
      <c r="T16" s="1676"/>
      <c r="U16" s="1677"/>
      <c r="V16" s="1677"/>
      <c r="W16" s="1677"/>
      <c r="X16" s="1677"/>
      <c r="Y16" s="1676"/>
      <c r="Z16" s="1677"/>
      <c r="AA16" s="1677"/>
      <c r="AB16" s="1677"/>
      <c r="AC16" s="1677"/>
      <c r="AD16" s="1677"/>
      <c r="AE16" s="1677"/>
      <c r="AF16" s="1677"/>
      <c r="AG16" s="1677"/>
      <c r="AH16" s="1677"/>
      <c r="AI16" s="1677"/>
      <c r="AJ16" s="1677"/>
      <c r="AK16" s="1677"/>
      <c r="AL16" s="1677"/>
      <c r="AM16" s="167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9" t="s">
        <v>547</v>
      </c>
      <c r="D17" s="1689"/>
      <c r="E17" s="1689"/>
      <c r="F17" s="1689"/>
      <c r="G17" s="1689"/>
      <c r="H17" s="1689"/>
      <c r="I17" s="1689"/>
      <c r="J17" s="1689"/>
      <c r="K17" s="1689"/>
      <c r="L17" s="1689"/>
      <c r="M17" s="1689"/>
      <c r="N17" s="1689"/>
      <c r="O17" s="1689"/>
      <c r="P17" s="1689"/>
      <c r="Q17" s="1689"/>
      <c r="R17" s="1689"/>
      <c r="S17" s="1690"/>
      <c r="T17" s="1676"/>
      <c r="U17" s="1677"/>
      <c r="V17" s="1677"/>
      <c r="W17" s="1677"/>
      <c r="X17" s="1677"/>
      <c r="Y17" s="1676"/>
      <c r="Z17" s="1677"/>
      <c r="AA17" s="1677"/>
      <c r="AB17" s="1677"/>
      <c r="AC17" s="1677"/>
      <c r="AD17" s="1677"/>
      <c r="AE17" s="1677"/>
      <c r="AF17" s="1677"/>
      <c r="AG17" s="1677"/>
      <c r="AH17" s="1677"/>
      <c r="AI17" s="1677"/>
      <c r="AJ17" s="1677"/>
      <c r="AK17" s="1677"/>
      <c r="AL17" s="1677"/>
      <c r="AM17" s="167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4" t="s">
        <v>1069</v>
      </c>
      <c r="D18" s="1684"/>
      <c r="E18" s="1684"/>
      <c r="F18" s="1684"/>
      <c r="G18" s="1684"/>
      <c r="H18" s="1684"/>
      <c r="I18" s="1684"/>
      <c r="J18" s="1684"/>
      <c r="K18" s="1684"/>
      <c r="L18" s="1684"/>
      <c r="M18" s="1684"/>
      <c r="N18" s="1684"/>
      <c r="O18" s="1684"/>
      <c r="P18" s="1684"/>
      <c r="Q18" s="1684"/>
      <c r="R18" s="1684"/>
      <c r="S18" s="1685"/>
      <c r="T18" s="1676"/>
      <c r="U18" s="1677"/>
      <c r="V18" s="1677"/>
      <c r="W18" s="1677"/>
      <c r="X18" s="1677"/>
      <c r="Y18" s="1676"/>
      <c r="Z18" s="1677"/>
      <c r="AA18" s="1677"/>
      <c r="AB18" s="1677"/>
      <c r="AC18" s="1677"/>
      <c r="AD18" s="1677"/>
      <c r="AE18" s="1677"/>
      <c r="AF18" s="1677"/>
      <c r="AG18" s="1677"/>
      <c r="AH18" s="1677"/>
      <c r="AI18" s="1677"/>
      <c r="AJ18" s="1677"/>
      <c r="AK18" s="1677"/>
      <c r="AL18" s="1677"/>
      <c r="AM18" s="167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4" t="s">
        <v>1069</v>
      </c>
      <c r="D19" s="1684"/>
      <c r="E19" s="1684"/>
      <c r="F19" s="1684"/>
      <c r="G19" s="1684"/>
      <c r="H19" s="1684"/>
      <c r="I19" s="1684"/>
      <c r="J19" s="1684"/>
      <c r="K19" s="1684"/>
      <c r="L19" s="1684"/>
      <c r="M19" s="1684"/>
      <c r="N19" s="1684"/>
      <c r="O19" s="1684"/>
      <c r="P19" s="1684"/>
      <c r="Q19" s="1684"/>
      <c r="R19" s="1684"/>
      <c r="S19" s="1685"/>
      <c r="T19" s="1676"/>
      <c r="U19" s="1677"/>
      <c r="V19" s="1677"/>
      <c r="W19" s="1677"/>
      <c r="X19" s="1677"/>
      <c r="Y19" s="1676"/>
      <c r="Z19" s="1677"/>
      <c r="AA19" s="1677"/>
      <c r="AB19" s="1677"/>
      <c r="AC19" s="1677"/>
      <c r="AD19" s="1677"/>
      <c r="AE19" s="1677"/>
      <c r="AF19" s="1677"/>
      <c r="AG19" s="1677"/>
      <c r="AH19" s="1677"/>
      <c r="AI19" s="1677"/>
      <c r="AJ19" s="1677"/>
      <c r="AK19" s="1677"/>
      <c r="AL19" s="1677"/>
      <c r="AM19" s="167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548</v>
      </c>
      <c r="C20" s="1639"/>
      <c r="D20" s="1639"/>
      <c r="E20" s="1639"/>
      <c r="F20" s="1639"/>
      <c r="G20" s="1639"/>
      <c r="H20" s="1639"/>
      <c r="I20" s="1639"/>
      <c r="J20" s="1639"/>
      <c r="K20" s="1639"/>
      <c r="L20" s="1639"/>
      <c r="M20" s="1639"/>
      <c r="N20" s="1639"/>
      <c r="O20" s="1639"/>
      <c r="P20" s="1639"/>
      <c r="Q20" s="1639"/>
      <c r="R20" s="1639"/>
      <c r="S20" s="1640"/>
      <c r="T20" s="1656">
        <f>SUM(T13:X19)</f>
        <v>0</v>
      </c>
      <c r="U20" s="1659"/>
      <c r="V20" s="1659"/>
      <c r="W20" s="1659"/>
      <c r="X20" s="1659"/>
      <c r="Y20" s="1656">
        <f>SUM(Y13:AC19)</f>
        <v>0</v>
      </c>
      <c r="Z20" s="1659"/>
      <c r="AA20" s="1659"/>
      <c r="AB20" s="1659"/>
      <c r="AC20" s="1659"/>
      <c r="AD20" s="1654">
        <f>SUM(AD13:AH19)</f>
        <v>0</v>
      </c>
      <c r="AE20" s="1655"/>
      <c r="AF20" s="1655"/>
      <c r="AG20" s="1655"/>
      <c r="AH20" s="1656"/>
      <c r="AI20" s="1654">
        <f>SUM(AI13:AM19)</f>
        <v>0</v>
      </c>
      <c r="AJ20" s="1655"/>
      <c r="AK20" s="1655"/>
      <c r="AL20" s="1655"/>
      <c r="AM20" s="165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1552</v>
      </c>
      <c r="C21" s="1639"/>
      <c r="D21" s="1639"/>
      <c r="E21" s="1639"/>
      <c r="F21" s="1639"/>
      <c r="G21" s="1639"/>
      <c r="H21" s="1639"/>
      <c r="I21" s="1639"/>
      <c r="J21" s="1639"/>
      <c r="K21" s="1639"/>
      <c r="L21" s="1639"/>
      <c r="M21" s="1639"/>
      <c r="N21" s="1639"/>
      <c r="O21" s="1639"/>
      <c r="P21" s="1639"/>
      <c r="Q21" s="1639"/>
      <c r="R21" s="1639"/>
      <c r="S21" s="1640"/>
      <c r="T21" s="1676"/>
      <c r="U21" s="1677"/>
      <c r="V21" s="1677"/>
      <c r="W21" s="1677"/>
      <c r="X21" s="1677"/>
      <c r="Y21" s="1676"/>
      <c r="Z21" s="1677"/>
      <c r="AA21" s="1677"/>
      <c r="AB21" s="1677"/>
      <c r="AC21" s="1677"/>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549</v>
      </c>
      <c r="C22" s="1639"/>
      <c r="D22" s="1639"/>
      <c r="E22" s="1639"/>
      <c r="F22" s="1639"/>
      <c r="G22" s="1639"/>
      <c r="H22" s="1639"/>
      <c r="I22" s="1639"/>
      <c r="J22" s="1639"/>
      <c r="K22" s="1639"/>
      <c r="L22" s="1639"/>
      <c r="M22" s="1639"/>
      <c r="N22" s="1639"/>
      <c r="O22" s="1639"/>
      <c r="P22" s="1639"/>
      <c r="Q22" s="1639"/>
      <c r="R22" s="1639"/>
      <c r="S22" s="1640"/>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3" t="s">
        <v>550</v>
      </c>
      <c r="C23" s="1694"/>
      <c r="D23" s="1694"/>
      <c r="E23" s="1694"/>
      <c r="F23" s="1694"/>
      <c r="G23" s="1694"/>
      <c r="H23" s="1694"/>
      <c r="I23" s="1694"/>
      <c r="J23" s="1694"/>
      <c r="K23" s="1694"/>
      <c r="L23" s="1694"/>
      <c r="M23" s="1694"/>
      <c r="N23" s="1694"/>
      <c r="O23" s="1694"/>
      <c r="P23" s="1694"/>
      <c r="Q23" s="1694"/>
      <c r="R23" s="1694"/>
      <c r="S23" s="1695"/>
      <c r="T23" s="1656">
        <f>T11+T22</f>
        <v>19995520</v>
      </c>
      <c r="U23" s="1659"/>
      <c r="V23" s="1659"/>
      <c r="W23" s="1659"/>
      <c r="X23" s="1659"/>
      <c r="Y23" s="1656">
        <f>Y11+Y22</f>
        <v>0</v>
      </c>
      <c r="Z23" s="1659"/>
      <c r="AA23" s="1659"/>
      <c r="AB23" s="1659"/>
      <c r="AC23" s="1659"/>
      <c r="AD23" s="1656">
        <f>AD11+AD22</f>
        <v>0</v>
      </c>
      <c r="AE23" s="1659"/>
      <c r="AF23" s="1659"/>
      <c r="AG23" s="1659"/>
      <c r="AH23" s="1659"/>
      <c r="AI23" s="1656">
        <f>AI11+AI22</f>
        <v>0</v>
      </c>
      <c r="AJ23" s="1659"/>
      <c r="AK23" s="1659"/>
      <c r="AL23" s="1659"/>
      <c r="AM23" s="165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1070</v>
      </c>
      <c r="C24" s="1639"/>
      <c r="D24" s="1639"/>
      <c r="E24" s="1639"/>
      <c r="F24" s="1639"/>
      <c r="G24" s="1639"/>
      <c r="H24" s="1639"/>
      <c r="I24" s="1639"/>
      <c r="J24" s="1639"/>
      <c r="K24" s="1639"/>
      <c r="L24" s="1639"/>
      <c r="M24" s="1639"/>
      <c r="N24" s="1639"/>
      <c r="O24" s="1639"/>
      <c r="P24" s="1639"/>
      <c r="Q24" s="1639"/>
      <c r="R24" s="1639"/>
      <c r="S24" s="1640"/>
      <c r="T24" s="1654">
        <f>Application!AD1004</f>
        <v>24274117.259999998</v>
      </c>
      <c r="U24" s="1655"/>
      <c r="V24" s="1655"/>
      <c r="W24" s="1655"/>
      <c r="X24" s="1655"/>
      <c r="Y24" s="1655"/>
      <c r="Z24" s="1655"/>
      <c r="AA24" s="1655"/>
      <c r="AB24" s="1655"/>
      <c r="AC24" s="1655"/>
      <c r="AD24" s="1655"/>
      <c r="AE24" s="1655"/>
      <c r="AF24" s="1655"/>
      <c r="AG24" s="1655"/>
      <c r="AH24" s="1655"/>
      <c r="AI24" s="1655"/>
      <c r="AJ24" s="1655"/>
      <c r="AK24" s="1655"/>
      <c r="AL24" s="1655"/>
      <c r="AM24" s="165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7" t="s">
        <v>1553</v>
      </c>
      <c r="C25" s="1698"/>
      <c r="D25" s="1698"/>
      <c r="E25" s="1698"/>
      <c r="F25" s="1698"/>
      <c r="G25" s="1698"/>
      <c r="H25" s="1698"/>
      <c r="I25" s="1698"/>
      <c r="J25" s="1698"/>
      <c r="K25" s="1698"/>
      <c r="L25" s="1698"/>
      <c r="M25" s="1698"/>
      <c r="N25" s="1698"/>
      <c r="O25" s="1698"/>
      <c r="P25" s="1698"/>
      <c r="Q25" s="1698"/>
      <c r="R25" s="1698"/>
      <c r="S25" s="1699"/>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551</v>
      </c>
      <c r="C26" s="1639"/>
      <c r="D26" s="1639"/>
      <c r="E26" s="1639"/>
      <c r="F26" s="1639"/>
      <c r="G26" s="1639"/>
      <c r="H26" s="1639"/>
      <c r="I26" s="1639"/>
      <c r="J26" s="1639"/>
      <c r="K26" s="1639"/>
      <c r="L26" s="1639"/>
      <c r="M26" s="1639"/>
      <c r="N26" s="1639"/>
      <c r="O26" s="1639"/>
      <c r="P26" s="1639"/>
      <c r="Q26" s="1639"/>
      <c r="R26" s="1639"/>
      <c r="S26" s="1640"/>
      <c r="T26" s="1670">
        <f>T23*T25</f>
        <v>25994176</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0" t="s">
        <v>460</v>
      </c>
      <c r="C27" s="1701"/>
      <c r="D27" s="1701"/>
      <c r="E27" s="1701"/>
      <c r="F27" s="1701"/>
      <c r="G27" s="1701"/>
      <c r="H27" s="1701"/>
      <c r="I27" s="1701"/>
      <c r="J27" s="1701"/>
      <c r="K27" s="1701"/>
      <c r="L27" s="1701"/>
      <c r="M27" s="1701"/>
      <c r="N27" s="1701"/>
      <c r="O27" s="1701"/>
      <c r="P27" s="1701"/>
      <c r="Q27" s="1701"/>
      <c r="R27" s="1701"/>
      <c r="S27" s="1702"/>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552</v>
      </c>
      <c r="C28" s="1639"/>
      <c r="D28" s="1639"/>
      <c r="E28" s="1639"/>
      <c r="F28" s="1639"/>
      <c r="G28" s="1639"/>
      <c r="H28" s="1639"/>
      <c r="I28" s="1639"/>
      <c r="J28" s="1639"/>
      <c r="K28" s="1639"/>
      <c r="L28" s="1639"/>
      <c r="M28" s="1639"/>
      <c r="N28" s="1639"/>
      <c r="O28" s="1639"/>
      <c r="P28" s="1639"/>
      <c r="Q28" s="1639"/>
      <c r="R28" s="1639"/>
      <c r="S28" s="1640"/>
      <c r="T28" s="1636">
        <f>IF(ISERROR((T26*T27)),0,(T26*T27))</f>
        <v>25994176</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569</v>
      </c>
      <c r="C29" s="1639"/>
      <c r="D29" s="1639"/>
      <c r="E29" s="1639"/>
      <c r="F29" s="1639"/>
      <c r="G29" s="1639"/>
      <c r="H29" s="1639"/>
      <c r="I29" s="1639"/>
      <c r="J29" s="1639"/>
      <c r="K29" s="1639"/>
      <c r="L29" s="1639"/>
      <c r="M29" s="1639"/>
      <c r="N29" s="1639"/>
      <c r="O29" s="1639"/>
      <c r="P29" s="1639"/>
      <c r="Q29" s="1639"/>
      <c r="R29" s="1639"/>
      <c r="S29" s="1640"/>
      <c r="T29" s="1654">
        <f>T28+Y28+AD28+AI28</f>
        <v>25994176</v>
      </c>
      <c r="U29" s="1655"/>
      <c r="V29" s="1655"/>
      <c r="W29" s="1655"/>
      <c r="X29" s="1655"/>
      <c r="Y29" s="1655"/>
      <c r="Z29" s="1655"/>
      <c r="AA29" s="1655"/>
      <c r="AB29" s="1655"/>
      <c r="AC29" s="1655"/>
      <c r="AD29" s="1655"/>
      <c r="AE29" s="1655"/>
      <c r="AF29" s="1655"/>
      <c r="AG29" s="1655"/>
      <c r="AH29" s="1655"/>
      <c r="AI29" s="1655"/>
      <c r="AJ29" s="1655"/>
      <c r="AK29" s="1655"/>
      <c r="AL29" s="1655"/>
      <c r="AM29" s="165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1" t="s">
        <v>1557</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1" t="s">
        <v>1554</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1386</v>
      </c>
      <c r="Z35" s="1657"/>
      <c r="AA35" s="1657"/>
      <c r="AB35" s="1657"/>
      <c r="AC35" s="1657"/>
      <c r="AD35" s="1658" t="s">
        <v>393</v>
      </c>
      <c r="AE35" s="1658"/>
      <c r="AF35" s="1658"/>
      <c r="AG35" s="1658"/>
      <c r="AH35" s="165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58"/>
      <c r="AE36" s="1658"/>
      <c r="AF36" s="1658"/>
      <c r="AG36" s="1658"/>
      <c r="AH36" s="165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58"/>
      <c r="AE37" s="1658"/>
      <c r="AF37" s="1658"/>
      <c r="AG37" s="1658"/>
      <c r="AH37" s="165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552</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59">
        <f>IF(T24&gt;=(T23+Y23+AD23+AI23),T28+Y28,0)</f>
        <v>25994176</v>
      </c>
      <c r="Z38" s="1659"/>
      <c r="AA38" s="1659"/>
      <c r="AB38" s="1659"/>
      <c r="AC38" s="1659"/>
      <c r="AD38" s="1659">
        <f>IF(T24&gt;=(T23+Y23+AD23+AI23),AD28+AI28,0)</f>
        <v>0</v>
      </c>
      <c r="AE38" s="1659"/>
      <c r="AF38" s="1659"/>
      <c r="AG38" s="1659"/>
      <c r="AH38" s="165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1555</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660">
        <v>3.2399999999999998E-2</v>
      </c>
      <c r="Z39" s="1660"/>
      <c r="AA39" s="1660"/>
      <c r="AB39" s="1660"/>
      <c r="AC39" s="1660"/>
      <c r="AD39" s="1660">
        <v>3.2399999999999998E-2</v>
      </c>
      <c r="AE39" s="1660"/>
      <c r="AF39" s="1660"/>
      <c r="AG39" s="1660"/>
      <c r="AH39" s="166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692</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59">
        <f>ROUND(Y38*Y39,0)</f>
        <v>842211</v>
      </c>
      <c r="Z40" s="1659"/>
      <c r="AA40" s="1659"/>
      <c r="AB40" s="1659"/>
      <c r="AC40" s="1659"/>
      <c r="AD40" s="1656">
        <f>ROUND(AD38*AD39,0)</f>
        <v>0</v>
      </c>
      <c r="AE40" s="1659"/>
      <c r="AF40" s="1659"/>
      <c r="AG40" s="1659"/>
      <c r="AH40" s="165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693</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703">
        <f>Y40+AD40</f>
        <v>842211</v>
      </c>
      <c r="Z41" s="1704"/>
      <c r="AA41" s="1704"/>
      <c r="AB41" s="1704"/>
      <c r="AC41" s="1704"/>
      <c r="AD41" s="1704"/>
      <c r="AE41" s="1704"/>
      <c r="AF41" s="1704"/>
      <c r="AG41" s="1704"/>
      <c r="AH41" s="170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6" t="s">
        <v>1556</v>
      </c>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c r="AG42" s="1696"/>
      <c r="AH42" s="169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3" t="s">
        <v>1587</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c r="AL44" s="1653"/>
      <c r="AM44" s="1653"/>
      <c r="AN44" s="1653"/>
      <c r="AO44" s="1653"/>
      <c r="AP44" s="1653"/>
      <c r="AQ44" s="1653"/>
      <c r="AR44" s="1653"/>
      <c r="AS44" s="1653"/>
      <c r="AT44" s="1653"/>
      <c r="AU44" s="1653"/>
      <c r="AV44" s="1653"/>
      <c r="AW44" s="1653"/>
      <c r="AX44" s="1653"/>
      <c r="AY44" s="1653"/>
      <c r="AZ44" s="1653"/>
      <c r="BA44" s="1653"/>
      <c r="BB44" s="1653"/>
      <c r="BC44" s="1653"/>
      <c r="BD44" s="1653"/>
      <c r="BE44" s="1653"/>
      <c r="BF44" s="1653"/>
      <c r="BG44" s="1653"/>
      <c r="BH44" s="1653"/>
      <c r="BI44" s="1653"/>
      <c r="BJ44" s="1653"/>
      <c r="BK44" s="1653"/>
      <c r="BL44" s="1653"/>
      <c r="BM44" s="1653"/>
      <c r="BN44" s="1653"/>
      <c r="BO44" s="1653"/>
      <c r="BP44" s="1653"/>
      <c r="BQ44" s="1653"/>
      <c r="BR44" s="1653"/>
      <c r="BS44" s="1653"/>
      <c r="BT44" s="1653"/>
      <c r="BU44" s="1653"/>
      <c r="BV44" s="1653"/>
      <c r="BW44" s="1653"/>
      <c r="BX44" s="165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25854417</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18101162</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7753255</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2">
        <v>0.92058340000000005</v>
      </c>
      <c r="AC50" s="1633"/>
      <c r="AD50" s="1633"/>
      <c r="AE50" s="1633"/>
      <c r="AF50" s="163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6" t="s">
        <v>1182</v>
      </c>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8422110</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842211</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0">
        <f>(IF((Y41&lt;AB55),Y41,AB55))</f>
        <v>842211</v>
      </c>
      <c r="AC56" s="1651"/>
      <c r="AD56" s="1651"/>
      <c r="AE56" s="1651"/>
      <c r="AF56" s="165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7753255</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8">
        <f>AB49-AB57</f>
        <v>0</v>
      </c>
      <c r="AC59" s="1628"/>
      <c r="AD59" s="1628"/>
      <c r="AE59" s="1628"/>
      <c r="AF59" s="162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3" t="str">
        <f>IF(Application!AF204="yes","Farmworker State Credit", "$500M State Credit" )</f>
        <v>$500M State Credit</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1" t="s">
        <v>1101</v>
      </c>
      <c r="Z63" s="1641"/>
      <c r="AA63" s="1641"/>
      <c r="AB63" s="1641"/>
      <c r="AC63" s="1641"/>
      <c r="AD63" s="1641" t="s">
        <v>393</v>
      </c>
      <c r="AE63" s="1641"/>
      <c r="AF63" s="1641"/>
      <c r="AG63" s="1641"/>
      <c r="AH63" s="164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2">
        <f>IF(OR(Application!M350="yes",Application!AF204="yes"),(T23*T27)+Y28,0)</f>
        <v>19995520</v>
      </c>
      <c r="Z64" s="1643"/>
      <c r="AA64" s="1643"/>
      <c r="AB64" s="1643"/>
      <c r="AC64" s="1644"/>
      <c r="AD64" s="1642">
        <f>IF(AND(Application!AF204="yes",Application!M353="yes"),AD28+AI28,0)</f>
        <v>0</v>
      </c>
      <c r="AE64" s="1643"/>
      <c r="AF64" s="1643"/>
      <c r="AG64" s="1643"/>
      <c r="AH64" s="164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5" t="s">
        <v>1537</v>
      </c>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5"/>
      <c r="F66" s="1645"/>
      <c r="G66" s="1645"/>
      <c r="H66" s="1645"/>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29">
        <f>IF(Application!AF204="yes",0.75,0.3)</f>
        <v>0.3</v>
      </c>
      <c r="Z67" s="1629"/>
      <c r="AA67" s="1629"/>
      <c r="AB67" s="1629"/>
      <c r="AC67" s="1629"/>
      <c r="AD67" s="1629">
        <f>IF(Application!AF204="yes",0.75,0.3)</f>
        <v>0.3</v>
      </c>
      <c r="AE67" s="1629"/>
      <c r="AF67" s="1629"/>
      <c r="AG67" s="1629"/>
      <c r="AH67" s="162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0">
        <f>ROUND(Y64*Y67,0)</f>
        <v>5998656</v>
      </c>
      <c r="Z68" s="1631"/>
      <c r="AA68" s="1631"/>
      <c r="AB68" s="1631"/>
      <c r="AC68" s="1631"/>
      <c r="AD68" s="1630" t="str">
        <f>IF(Application!D210="At-Risk",AD64*AD67,"$0")</f>
        <v>$0</v>
      </c>
      <c r="AE68" s="1631"/>
      <c r="AF68" s="1631"/>
      <c r="AG68" s="1631"/>
      <c r="AH68" s="163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2"/>
      <c r="AC71" s="1633"/>
      <c r="AD71" s="1633"/>
      <c r="AE71" s="1633"/>
      <c r="AF71" s="163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5" t="s">
        <v>1540</v>
      </c>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163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5"/>
      <c r="F74" s="1635"/>
      <c r="G74" s="1635"/>
      <c r="H74" s="1635"/>
      <c r="I74" s="1635"/>
      <c r="J74" s="1635"/>
      <c r="K74" s="1635"/>
      <c r="L74" s="1635"/>
      <c r="M74" s="1635"/>
      <c r="N74" s="1635"/>
      <c r="O74" s="1635"/>
      <c r="P74" s="1635"/>
      <c r="Q74" s="1635"/>
      <c r="R74" s="1635"/>
      <c r="S74" s="1635"/>
      <c r="T74" s="1635"/>
      <c r="U74" s="1635"/>
      <c r="V74" s="1635"/>
      <c r="W74" s="1635"/>
      <c r="X74" s="1635"/>
      <c r="Y74" s="1635"/>
      <c r="Z74" s="1635"/>
      <c r="AA74" s="163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3">
        <f>ROUND(IF(ISERROR((AB59/AB71)),0,(AB59/AB71)),0)</f>
        <v>0</v>
      </c>
      <c r="AC76" s="1623"/>
      <c r="AD76" s="1623"/>
      <c r="AE76" s="1623"/>
      <c r="AF76" s="162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4">
        <f>IF((Y68+AD68&lt;AB76),Y68+AD68,AB76)</f>
        <v>0</v>
      </c>
      <c r="AC77" s="1625"/>
      <c r="AD77" s="1625"/>
      <c r="AE77" s="1625"/>
      <c r="AF77" s="162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7">
        <f>AB77*AB71</f>
        <v>0</v>
      </c>
      <c r="AC78" s="1627"/>
      <c r="AD78" s="1627"/>
      <c r="AE78" s="1627"/>
      <c r="AF78" s="162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8">
        <f>AB49-(AB57+AB78)</f>
        <v>0</v>
      </c>
      <c r="AC80" s="1628"/>
      <c r="AD80" s="1628"/>
      <c r="AE80" s="1628"/>
      <c r="AF80" s="162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3" t="s">
        <v>1588</v>
      </c>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c r="AP83" s="1653"/>
      <c r="AQ83" s="1653"/>
      <c r="AR83" s="1653"/>
      <c r="AS83" s="1653"/>
      <c r="AT83" s="1653"/>
      <c r="AU83" s="1653"/>
      <c r="AV83" s="1653"/>
      <c r="AW83" s="1653"/>
      <c r="AX83" s="1653"/>
      <c r="AY83" s="1653"/>
      <c r="AZ83" s="1653"/>
      <c r="BA83" s="1653"/>
      <c r="BB83" s="1653"/>
      <c r="BC83" s="1653"/>
      <c r="BD83" s="1653"/>
      <c r="BE83" s="1653"/>
      <c r="BF83" s="1653"/>
      <c r="BG83" s="1653"/>
      <c r="BH83" s="1653"/>
      <c r="BI83" s="1653"/>
      <c r="BJ83" s="1653"/>
      <c r="BK83" s="1653"/>
      <c r="BL83" s="1653"/>
      <c r="BM83" s="1653"/>
      <c r="BN83" s="1653"/>
      <c r="BO83" s="1653"/>
      <c r="BP83" s="1653"/>
      <c r="BQ83" s="1653"/>
      <c r="BR83" s="1653"/>
      <c r="BS83" s="1653"/>
      <c r="BT83" s="1653"/>
      <c r="BU83" s="1653"/>
      <c r="BV83" s="1653"/>
      <c r="BW83" s="1653"/>
      <c r="BX83" s="1653"/>
    </row>
    <row r="84" spans="1:98" ht="13.5" thickTop="1"/>
    <row r="85" spans="1:98" ht="12.75">
      <c r="A85" s="819" t="s">
        <v>642</v>
      </c>
      <c r="C85" s="344" t="s">
        <v>1586</v>
      </c>
    </row>
    <row r="86" spans="1:98" ht="12.75">
      <c r="D86" s="344" t="s">
        <v>1642</v>
      </c>
      <c r="AB86" s="1692">
        <f>IF(A61="$500M State Credit",AB77/(Application!AG424-Application!AG425),"N/A")</f>
        <v>0</v>
      </c>
      <c r="AC86" s="1692"/>
      <c r="AD86" s="1692"/>
      <c r="AE86" s="1692"/>
      <c r="AF86" s="1692"/>
    </row>
    <row r="87" spans="1:98" ht="13.5" thickBot="1">
      <c r="D87" s="344" t="s">
        <v>1643</v>
      </c>
      <c r="AB87" s="1691" t="e">
        <f>IF(A61="$500M State Credit",(Application!AG424-Application!AG425)/AB77,"N/A")</f>
        <v>#DIV/0!</v>
      </c>
      <c r="AC87" s="1691"/>
      <c r="AD87" s="1691"/>
      <c r="AE87" s="1691"/>
      <c r="AF87" s="169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28" zoomScaleNormal="100" zoomScaleSheetLayoutView="100" workbookViewId="0">
      <selection activeCell="C8" sqref="C8"/>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11.855468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782496</v>
      </c>
      <c r="G4" s="366">
        <f>E4*$C$4</f>
        <v>802058.39999999991</v>
      </c>
      <c r="I4" s="366">
        <f>G4*$C$4</f>
        <v>822109.85999999987</v>
      </c>
      <c r="K4" s="366">
        <f>I4*$C$4</f>
        <v>842662.60649999976</v>
      </c>
      <c r="M4" s="366">
        <f>K4*$C$4</f>
        <v>863729.17166249966</v>
      </c>
      <c r="O4" s="366">
        <f>M4*$C$4</f>
        <v>885322.40095406212</v>
      </c>
      <c r="Q4" s="366">
        <f>O4*$C$4</f>
        <v>907455.46097791358</v>
      </c>
      <c r="S4" s="366">
        <f>Q4*$C$4</f>
        <v>930141.84750236128</v>
      </c>
      <c r="U4" s="366">
        <f>S4*$C$4</f>
        <v>953395.39368992019</v>
      </c>
      <c r="W4" s="366">
        <f>U4*$C$4</f>
        <v>977230.27853216813</v>
      </c>
      <c r="Y4" s="366">
        <f>W4*$C$4</f>
        <v>1001661.0354954723</v>
      </c>
      <c r="AA4" s="366">
        <f>Y4*$C$4</f>
        <v>1026702.561382859</v>
      </c>
      <c r="AC4" s="366">
        <f>AA4*$C$4</f>
        <v>1052370.1254174304</v>
      </c>
      <c r="AE4" s="366">
        <f>AC4*$C$4</f>
        <v>1078679.3785528662</v>
      </c>
      <c r="AG4" s="366">
        <f>AE4*$C$4</f>
        <v>1105646.3630166878</v>
      </c>
    </row>
    <row r="5" spans="1:34" s="350" customFormat="1" ht="14.25">
      <c r="B5" s="350" t="s">
        <v>924</v>
      </c>
      <c r="C5" s="391">
        <f>IF(Application!$D$210="Special Needs",0.1,0.05)</f>
        <v>0.05</v>
      </c>
      <c r="E5" s="368">
        <f>-E4*$C$5</f>
        <v>-39124.800000000003</v>
      </c>
      <c r="F5" s="368"/>
      <c r="G5" s="368">
        <f>-G4*$C$5</f>
        <v>-40102.92</v>
      </c>
      <c r="H5" s="368"/>
      <c r="I5" s="368">
        <f>-I4*$C$5</f>
        <v>-41105.492999999995</v>
      </c>
      <c r="J5" s="368"/>
      <c r="K5" s="368">
        <f>-K4*$C$5</f>
        <v>-42133.130324999991</v>
      </c>
      <c r="L5" s="368"/>
      <c r="M5" s="368">
        <f>-M4*$C$5</f>
        <v>-43186.458583124986</v>
      </c>
      <c r="N5" s="368"/>
      <c r="O5" s="368">
        <f>-O4*$C$5</f>
        <v>-44266.120047703109</v>
      </c>
      <c r="P5" s="368"/>
      <c r="Q5" s="368">
        <f>-Q4*$C$5</f>
        <v>-45372.77304889568</v>
      </c>
      <c r="R5" s="368"/>
      <c r="S5" s="368">
        <f>-S4*$C$5</f>
        <v>-46507.092375118067</v>
      </c>
      <c r="T5" s="368"/>
      <c r="U5" s="368">
        <f>-U4*$C$5</f>
        <v>-47669.769684496016</v>
      </c>
      <c r="V5" s="368"/>
      <c r="W5" s="368">
        <f>-W4*$C$5</f>
        <v>-48861.513926608408</v>
      </c>
      <c r="X5" s="368"/>
      <c r="Y5" s="368">
        <f>-Y4*$C$5</f>
        <v>-50083.051774773616</v>
      </c>
      <c r="Z5" s="368"/>
      <c r="AA5" s="368">
        <f>-AA4*$C$5</f>
        <v>-51335.128069142957</v>
      </c>
      <c r="AB5" s="368"/>
      <c r="AC5" s="368">
        <f>-AC4*$C$5</f>
        <v>-52618.506270871527</v>
      </c>
      <c r="AD5" s="368"/>
      <c r="AE5" s="368">
        <f>-AE4*$C$5</f>
        <v>-53933.968927643313</v>
      </c>
      <c r="AF5" s="368"/>
      <c r="AG5" s="368">
        <f>-AG4*$C$5</f>
        <v>-55282.318150834391</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5568</v>
      </c>
      <c r="F8" s="369"/>
      <c r="G8" s="369">
        <f>E8*$C$8</f>
        <v>5707.2</v>
      </c>
      <c r="H8" s="369"/>
      <c r="I8" s="369">
        <f>G8*$C$8</f>
        <v>5849.8799999999992</v>
      </c>
      <c r="J8" s="369"/>
      <c r="K8" s="369">
        <f>I8*$C$8</f>
        <v>5996.1269999999986</v>
      </c>
      <c r="L8" s="369"/>
      <c r="M8" s="369">
        <f>K8*$C$8</f>
        <v>6146.0301749999981</v>
      </c>
      <c r="N8" s="369"/>
      <c r="O8" s="369">
        <f>M8*$C$8</f>
        <v>6299.6809293749975</v>
      </c>
      <c r="P8" s="369"/>
      <c r="Q8" s="369">
        <f>O8*$C$8</f>
        <v>6457.1729526093723</v>
      </c>
      <c r="R8" s="369"/>
      <c r="S8" s="369">
        <f>Q8*$C$8</f>
        <v>6618.6022764246063</v>
      </c>
      <c r="T8" s="369"/>
      <c r="U8" s="369">
        <f>S8*$C$8</f>
        <v>6784.0673333352206</v>
      </c>
      <c r="V8" s="369"/>
      <c r="W8" s="369">
        <f>U8*$C$8</f>
        <v>6953.6690166686003</v>
      </c>
      <c r="X8" s="369"/>
      <c r="Y8" s="369">
        <f>W8*$C$8</f>
        <v>7127.5107420853146</v>
      </c>
      <c r="Z8" s="369"/>
      <c r="AA8" s="369">
        <f>Y8*$C$8</f>
        <v>7305.6985106374468</v>
      </c>
      <c r="AB8" s="369"/>
      <c r="AC8" s="369">
        <f>AA8*$C$8</f>
        <v>7488.3409734033821</v>
      </c>
      <c r="AD8" s="369"/>
      <c r="AE8" s="369">
        <f>AC8*$C$8</f>
        <v>7675.549497738466</v>
      </c>
      <c r="AF8" s="369"/>
      <c r="AG8" s="369">
        <f>AE8*$C$8</f>
        <v>7867.4382351819268</v>
      </c>
    </row>
    <row r="9" spans="1:34" s="350" customFormat="1" ht="14.25">
      <c r="B9" s="350" t="s">
        <v>924</v>
      </c>
      <c r="C9" s="391">
        <f>IF(Application!$D$210="Special Needs",0.1,0.05)</f>
        <v>0.05</v>
      </c>
      <c r="E9" s="388">
        <f>-E8*$C$9</f>
        <v>-278.40000000000003</v>
      </c>
      <c r="F9" s="368"/>
      <c r="G9" s="388">
        <f>-G8*$C$9</f>
        <v>-285.36</v>
      </c>
      <c r="H9" s="368"/>
      <c r="I9" s="388">
        <f>-I8*$C$9</f>
        <v>-292.49399999999997</v>
      </c>
      <c r="J9" s="368"/>
      <c r="K9" s="388">
        <f>-K8*$C$9</f>
        <v>-299.80634999999995</v>
      </c>
      <c r="L9" s="368"/>
      <c r="M9" s="388">
        <f>-M8*$C$9</f>
        <v>-307.30150874999993</v>
      </c>
      <c r="N9" s="368"/>
      <c r="O9" s="388">
        <f>-O8*$C$9</f>
        <v>-314.98404646874991</v>
      </c>
      <c r="P9" s="368"/>
      <c r="Q9" s="388">
        <f>-Q8*$C$9</f>
        <v>-322.85864763046862</v>
      </c>
      <c r="R9" s="368"/>
      <c r="S9" s="388">
        <f>-S8*$C$9</f>
        <v>-330.93011382123035</v>
      </c>
      <c r="T9" s="368"/>
      <c r="U9" s="388">
        <f>-U8*$C$9</f>
        <v>-339.20336666676104</v>
      </c>
      <c r="V9" s="368"/>
      <c r="W9" s="388">
        <f>-W8*$C$9</f>
        <v>-347.68345083343002</v>
      </c>
      <c r="X9" s="368"/>
      <c r="Y9" s="388">
        <f>-Y8*$C$9</f>
        <v>-356.37553710426573</v>
      </c>
      <c r="Z9" s="368"/>
      <c r="AA9" s="388">
        <f>-AA8*$C$9</f>
        <v>-365.28492553187237</v>
      </c>
      <c r="AB9" s="368"/>
      <c r="AC9" s="388">
        <f>-AC8*$C$9</f>
        <v>-374.41704867016915</v>
      </c>
      <c r="AD9" s="368"/>
      <c r="AE9" s="388">
        <f>-AE8*$C$9</f>
        <v>-383.7774748869233</v>
      </c>
      <c r="AF9" s="368"/>
      <c r="AG9" s="388">
        <f>-AG8*$C$9</f>
        <v>-393.37191175909635</v>
      </c>
    </row>
    <row r="10" spans="1:34" s="370" customFormat="1" ht="15">
      <c r="A10" s="370" t="s">
        <v>946</v>
      </c>
      <c r="C10" s="361"/>
      <c r="E10" s="370">
        <f>SUM(E4:E9)</f>
        <v>748660.79999999993</v>
      </c>
      <c r="G10" s="370">
        <f>SUM(G4:G9)</f>
        <v>767377.31999999983</v>
      </c>
      <c r="I10" s="370">
        <f>SUM(I4:I9)</f>
        <v>786561.75299999991</v>
      </c>
      <c r="K10" s="370">
        <f>SUM(K4:K9)</f>
        <v>806225.79682499974</v>
      </c>
      <c r="M10" s="370">
        <f>SUM(M4:M9)</f>
        <v>826381.44174562464</v>
      </c>
      <c r="O10" s="370">
        <f>SUM(O4:O9)</f>
        <v>847040.97778926522</v>
      </c>
      <c r="Q10" s="370">
        <f>SUM(Q4:Q9)</f>
        <v>868217.00223399687</v>
      </c>
      <c r="S10" s="370">
        <f>SUM(S4:S9)</f>
        <v>889922.4272898467</v>
      </c>
      <c r="U10" s="370">
        <f>SUM(U4:U9)</f>
        <v>912170.48797209258</v>
      </c>
      <c r="W10" s="370">
        <f>SUM(W4:W9)</f>
        <v>934974.7501713949</v>
      </c>
      <c r="Y10" s="370">
        <f>SUM(Y4:Y9)</f>
        <v>958349.11892567959</v>
      </c>
      <c r="AA10" s="370">
        <f>SUM(AA4:AA9)</f>
        <v>982307.84689882165</v>
      </c>
      <c r="AC10" s="370">
        <f>SUM(AC4:AC9)</f>
        <v>1006865.5430712922</v>
      </c>
      <c r="AE10" s="370">
        <f>SUM(AE4:AE9)</f>
        <v>1032037.1816480744</v>
      </c>
      <c r="AG10" s="370">
        <f>SUM(AG4:AG9)</f>
        <v>1057838.1111892762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21920</v>
      </c>
      <c r="G14" s="366">
        <f>E14*$C$13</f>
        <v>22687.199999999997</v>
      </c>
      <c r="I14" s="366">
        <f>G14*$C$13</f>
        <v>23481.251999999997</v>
      </c>
      <c r="K14" s="366">
        <f>I14*$C$13</f>
        <v>24303.095819999995</v>
      </c>
      <c r="M14" s="366">
        <f>K14*$C$13</f>
        <v>25153.704173699993</v>
      </c>
      <c r="O14" s="366">
        <f>M14*$C$13</f>
        <v>26034.083819779491</v>
      </c>
      <c r="Q14" s="366">
        <f>O14*$C$13</f>
        <v>26945.276753471771</v>
      </c>
      <c r="S14" s="366">
        <f>Q14*$C$13</f>
        <v>27888.36143984328</v>
      </c>
      <c r="U14" s="366">
        <f>S14*$C$13</f>
        <v>28864.454090237792</v>
      </c>
      <c r="W14" s="366">
        <f>U14*$C$13</f>
        <v>29874.709983396111</v>
      </c>
      <c r="Y14" s="366">
        <f>W14*$C$13</f>
        <v>30920.324832814971</v>
      </c>
      <c r="AA14" s="366">
        <f>Y14*$C$13</f>
        <v>32002.536201963492</v>
      </c>
      <c r="AC14" s="366">
        <f>AA14*$C$13</f>
        <v>33122.624969032215</v>
      </c>
      <c r="AE14" s="366">
        <f>AC14*$C$13</f>
        <v>34281.91684294834</v>
      </c>
      <c r="AG14" s="366">
        <f>AE14*$C$13</f>
        <v>35481.78393245153</v>
      </c>
    </row>
    <row r="15" spans="1:34" s="350" customFormat="1" ht="14.25">
      <c r="A15" s="350" t="s">
        <v>367</v>
      </c>
      <c r="C15" s="380"/>
      <c r="E15" s="369">
        <f>Application!W829</f>
        <v>33408</v>
      </c>
      <c r="F15" s="369"/>
      <c r="G15" s="369">
        <f t="shared" ref="G15:AG20" si="0">E15*$C$13</f>
        <v>34577.279999999999</v>
      </c>
      <c r="H15" s="369"/>
      <c r="I15" s="369">
        <f t="shared" si="0"/>
        <v>35787.484799999998</v>
      </c>
      <c r="J15" s="369"/>
      <c r="K15" s="369">
        <f t="shared" si="0"/>
        <v>37040.046767999993</v>
      </c>
      <c r="L15" s="369"/>
      <c r="M15" s="369">
        <f t="shared" si="0"/>
        <v>38336.448404879993</v>
      </c>
      <c r="N15" s="369"/>
      <c r="O15" s="369">
        <f t="shared" si="0"/>
        <v>39678.224099050793</v>
      </c>
      <c r="P15" s="369"/>
      <c r="Q15" s="369">
        <f t="shared" si="0"/>
        <v>41066.96194251757</v>
      </c>
      <c r="R15" s="369"/>
      <c r="S15" s="369">
        <f t="shared" si="0"/>
        <v>42504.305610505682</v>
      </c>
      <c r="T15" s="369"/>
      <c r="U15" s="369">
        <f t="shared" si="0"/>
        <v>43991.956306873377</v>
      </c>
      <c r="V15" s="369"/>
      <c r="W15" s="369">
        <f t="shared" si="0"/>
        <v>45531.674777613938</v>
      </c>
      <c r="X15" s="369"/>
      <c r="Y15" s="369">
        <f t="shared" si="0"/>
        <v>47125.283394830425</v>
      </c>
      <c r="Z15" s="369"/>
      <c r="AA15" s="369">
        <f t="shared" si="0"/>
        <v>48774.668313649483</v>
      </c>
      <c r="AB15" s="369"/>
      <c r="AC15" s="369">
        <f t="shared" si="0"/>
        <v>50481.78170462721</v>
      </c>
      <c r="AD15" s="369"/>
      <c r="AE15" s="369">
        <f t="shared" si="0"/>
        <v>52248.644064289161</v>
      </c>
      <c r="AF15" s="369"/>
      <c r="AG15" s="369">
        <f t="shared" si="0"/>
        <v>54077.346606539279</v>
      </c>
    </row>
    <row r="16" spans="1:34" s="350" customFormat="1" ht="14.25">
      <c r="A16" s="350" t="s">
        <v>609</v>
      </c>
      <c r="C16" s="380"/>
      <c r="E16" s="369">
        <f>Application!W835</f>
        <v>43000</v>
      </c>
      <c r="F16" s="369"/>
      <c r="G16" s="369">
        <f t="shared" si="0"/>
        <v>44505</v>
      </c>
      <c r="H16" s="369"/>
      <c r="I16" s="369">
        <f t="shared" si="0"/>
        <v>46062.674999999996</v>
      </c>
      <c r="J16" s="369"/>
      <c r="K16" s="369">
        <f t="shared" si="0"/>
        <v>47674.868624999988</v>
      </c>
      <c r="L16" s="369"/>
      <c r="M16" s="369">
        <f t="shared" si="0"/>
        <v>49343.48902687498</v>
      </c>
      <c r="N16" s="369"/>
      <c r="O16" s="369">
        <f t="shared" si="0"/>
        <v>51070.511142815601</v>
      </c>
      <c r="P16" s="369"/>
      <c r="Q16" s="369">
        <f t="shared" si="0"/>
        <v>52857.979032814146</v>
      </c>
      <c r="R16" s="369"/>
      <c r="S16" s="369">
        <f t="shared" si="0"/>
        <v>54708.008298962639</v>
      </c>
      <c r="T16" s="369"/>
      <c r="U16" s="369">
        <f t="shared" si="0"/>
        <v>56622.788589426324</v>
      </c>
      <c r="V16" s="369"/>
      <c r="W16" s="369">
        <f t="shared" si="0"/>
        <v>58604.586190056238</v>
      </c>
      <c r="X16" s="369"/>
      <c r="Y16" s="369">
        <f t="shared" si="0"/>
        <v>60655.746706708203</v>
      </c>
      <c r="Z16" s="369"/>
      <c r="AA16" s="369">
        <f t="shared" si="0"/>
        <v>62778.697841442983</v>
      </c>
      <c r="AB16" s="369"/>
      <c r="AC16" s="369">
        <f t="shared" si="0"/>
        <v>64975.95226589348</v>
      </c>
      <c r="AD16" s="369"/>
      <c r="AE16" s="369">
        <f t="shared" si="0"/>
        <v>67250.110595199745</v>
      </c>
      <c r="AF16" s="369"/>
      <c r="AG16" s="369">
        <f t="shared" si="0"/>
        <v>69603.864466031737</v>
      </c>
    </row>
    <row r="17" spans="1:33" s="350" customFormat="1" ht="14.25">
      <c r="A17" s="350" t="s">
        <v>928</v>
      </c>
      <c r="C17" s="380"/>
      <c r="E17" s="369">
        <f>Application!W840</f>
        <v>119192</v>
      </c>
      <c r="F17" s="369"/>
      <c r="G17" s="369">
        <f t="shared" si="0"/>
        <v>123363.71999999999</v>
      </c>
      <c r="H17" s="369"/>
      <c r="I17" s="369">
        <f t="shared" si="0"/>
        <v>127681.45019999998</v>
      </c>
      <c r="J17" s="369"/>
      <c r="K17" s="369">
        <f t="shared" si="0"/>
        <v>132150.30095699997</v>
      </c>
      <c r="L17" s="369"/>
      <c r="M17" s="369">
        <f t="shared" si="0"/>
        <v>136775.56149049496</v>
      </c>
      <c r="N17" s="369"/>
      <c r="O17" s="369">
        <f t="shared" si="0"/>
        <v>141562.70614266227</v>
      </c>
      <c r="P17" s="369"/>
      <c r="Q17" s="369">
        <f t="shared" si="0"/>
        <v>146517.40085765545</v>
      </c>
      <c r="R17" s="369"/>
      <c r="S17" s="369">
        <f t="shared" si="0"/>
        <v>151645.50988767337</v>
      </c>
      <c r="T17" s="369"/>
      <c r="U17" s="369">
        <f t="shared" si="0"/>
        <v>156953.10273374192</v>
      </c>
      <c r="V17" s="369"/>
      <c r="W17" s="369">
        <f t="shared" si="0"/>
        <v>162446.46132942286</v>
      </c>
      <c r="X17" s="369"/>
      <c r="Y17" s="369">
        <f t="shared" si="0"/>
        <v>168132.08747595266</v>
      </c>
      <c r="Z17" s="369"/>
      <c r="AA17" s="369">
        <f t="shared" si="0"/>
        <v>174016.71053761098</v>
      </c>
      <c r="AB17" s="369"/>
      <c r="AC17" s="369">
        <f t="shared" si="0"/>
        <v>180107.29540642735</v>
      </c>
      <c r="AD17" s="369"/>
      <c r="AE17" s="369">
        <f t="shared" si="0"/>
        <v>186411.05074565229</v>
      </c>
      <c r="AF17" s="369"/>
      <c r="AG17" s="369">
        <f t="shared" si="0"/>
        <v>192935.43752175011</v>
      </c>
    </row>
    <row r="18" spans="1:33" s="350" customFormat="1" ht="14.25">
      <c r="A18" s="350" t="s">
        <v>162</v>
      </c>
      <c r="C18" s="380"/>
      <c r="E18" s="369">
        <f>Application!W841</f>
        <v>29700</v>
      </c>
      <c r="F18" s="369"/>
      <c r="G18" s="369">
        <f t="shared" si="0"/>
        <v>30739.499999999996</v>
      </c>
      <c r="H18" s="369"/>
      <c r="I18" s="369">
        <f t="shared" si="0"/>
        <v>31815.382499999992</v>
      </c>
      <c r="J18" s="369"/>
      <c r="K18" s="369">
        <f t="shared" si="0"/>
        <v>32928.920887499989</v>
      </c>
      <c r="L18" s="369"/>
      <c r="M18" s="369">
        <f t="shared" si="0"/>
        <v>34081.433118562483</v>
      </c>
      <c r="N18" s="369"/>
      <c r="O18" s="369">
        <f t="shared" si="0"/>
        <v>35274.283277712166</v>
      </c>
      <c r="P18" s="369"/>
      <c r="Q18" s="369">
        <f t="shared" si="0"/>
        <v>36508.883192432091</v>
      </c>
      <c r="R18" s="369"/>
      <c r="S18" s="369">
        <f t="shared" si="0"/>
        <v>37786.694104167211</v>
      </c>
      <c r="T18" s="369"/>
      <c r="U18" s="369">
        <f t="shared" si="0"/>
        <v>39109.228397813058</v>
      </c>
      <c r="V18" s="369"/>
      <c r="W18" s="369">
        <f t="shared" si="0"/>
        <v>40478.05139173651</v>
      </c>
      <c r="X18" s="369"/>
      <c r="Y18" s="369">
        <f t="shared" si="0"/>
        <v>41894.783190447284</v>
      </c>
      <c r="Z18" s="369"/>
      <c r="AA18" s="369">
        <f t="shared" si="0"/>
        <v>43361.100602112936</v>
      </c>
      <c r="AB18" s="369"/>
      <c r="AC18" s="369">
        <f t="shared" si="0"/>
        <v>44878.739123186882</v>
      </c>
      <c r="AD18" s="369"/>
      <c r="AE18" s="369">
        <f t="shared" si="0"/>
        <v>46449.494992498418</v>
      </c>
      <c r="AF18" s="369"/>
      <c r="AG18" s="369">
        <f t="shared" si="0"/>
        <v>48075.227317235862</v>
      </c>
    </row>
    <row r="19" spans="1:33" s="350" customFormat="1" ht="14.25">
      <c r="A19" s="350" t="s">
        <v>422</v>
      </c>
      <c r="C19" s="380"/>
      <c r="E19" s="369">
        <f>Application!W850</f>
        <v>25780</v>
      </c>
      <c r="F19" s="369"/>
      <c r="G19" s="369">
        <f t="shared" si="0"/>
        <v>26682.3</v>
      </c>
      <c r="H19" s="369"/>
      <c r="I19" s="369">
        <f t="shared" si="0"/>
        <v>27616.180499999999</v>
      </c>
      <c r="J19" s="369"/>
      <c r="K19" s="369">
        <f t="shared" si="0"/>
        <v>28582.746817499996</v>
      </c>
      <c r="L19" s="369"/>
      <c r="M19" s="369">
        <f t="shared" si="0"/>
        <v>29583.142956112493</v>
      </c>
      <c r="N19" s="369"/>
      <c r="O19" s="369">
        <f t="shared" si="0"/>
        <v>30618.552959576427</v>
      </c>
      <c r="P19" s="369"/>
      <c r="Q19" s="369">
        <f t="shared" si="0"/>
        <v>31690.202313161601</v>
      </c>
      <c r="R19" s="369"/>
      <c r="S19" s="369">
        <f t="shared" si="0"/>
        <v>32799.359394122257</v>
      </c>
      <c r="T19" s="369"/>
      <c r="U19" s="369">
        <f t="shared" si="0"/>
        <v>33947.336972916535</v>
      </c>
      <c r="V19" s="369"/>
      <c r="W19" s="369">
        <f t="shared" si="0"/>
        <v>35135.493766968611</v>
      </c>
      <c r="X19" s="369"/>
      <c r="Y19" s="369">
        <f t="shared" si="0"/>
        <v>36365.236048812512</v>
      </c>
      <c r="Z19" s="369"/>
      <c r="AA19" s="369">
        <f t="shared" si="0"/>
        <v>37638.019310520947</v>
      </c>
      <c r="AB19" s="369"/>
      <c r="AC19" s="369">
        <f t="shared" si="0"/>
        <v>38955.349986389178</v>
      </c>
      <c r="AD19" s="369"/>
      <c r="AE19" s="369">
        <f t="shared" si="0"/>
        <v>40318.787235912794</v>
      </c>
      <c r="AF19" s="369"/>
      <c r="AG19" s="369">
        <f t="shared" si="0"/>
        <v>41729.944789169742</v>
      </c>
    </row>
    <row r="20" spans="1:33" s="350" customFormat="1" ht="14.25">
      <c r="A20" s="373" t="s">
        <v>1071</v>
      </c>
      <c r="B20" s="373"/>
      <c r="C20" s="380"/>
      <c r="E20" s="379">
        <f>Application!W857</f>
        <v>70000</v>
      </c>
      <c r="F20" s="369"/>
      <c r="G20" s="379">
        <f t="shared" si="0"/>
        <v>72450</v>
      </c>
      <c r="H20" s="369"/>
      <c r="I20" s="379">
        <f t="shared" si="0"/>
        <v>74985.75</v>
      </c>
      <c r="J20" s="369"/>
      <c r="K20" s="379">
        <f t="shared" si="0"/>
        <v>77610.251250000001</v>
      </c>
      <c r="L20" s="369"/>
      <c r="M20" s="379">
        <f t="shared" si="0"/>
        <v>80326.610043749999</v>
      </c>
      <c r="N20" s="369"/>
      <c r="O20" s="379">
        <f t="shared" si="0"/>
        <v>83138.041395281238</v>
      </c>
      <c r="P20" s="369"/>
      <c r="Q20" s="379">
        <f t="shared" si="0"/>
        <v>86047.872844116078</v>
      </c>
      <c r="R20" s="369"/>
      <c r="S20" s="379">
        <f t="shared" si="0"/>
        <v>89059.548393660138</v>
      </c>
      <c r="T20" s="369"/>
      <c r="U20" s="379">
        <f t="shared" si="0"/>
        <v>92176.632587438231</v>
      </c>
      <c r="V20" s="369"/>
      <c r="W20" s="379">
        <f t="shared" si="0"/>
        <v>95402.814727998557</v>
      </c>
      <c r="X20" s="369"/>
      <c r="Y20" s="379">
        <f t="shared" si="0"/>
        <v>98741.913243478499</v>
      </c>
      <c r="Z20" s="369"/>
      <c r="AA20" s="379">
        <f t="shared" si="0"/>
        <v>102197.88020700024</v>
      </c>
      <c r="AB20" s="369"/>
      <c r="AC20" s="379">
        <f t="shared" si="0"/>
        <v>105774.80601424525</v>
      </c>
      <c r="AD20" s="369"/>
      <c r="AE20" s="379">
        <f t="shared" si="0"/>
        <v>109476.92422474382</v>
      </c>
      <c r="AF20" s="369"/>
      <c r="AG20" s="379">
        <f t="shared" si="0"/>
        <v>113308.61657260986</v>
      </c>
    </row>
    <row r="21" spans="1:33" s="370" customFormat="1" ht="15">
      <c r="A21" s="370" t="s">
        <v>929</v>
      </c>
      <c r="C21" s="380"/>
      <c r="E21" s="370">
        <f>SUM(E14:E20)</f>
        <v>343000</v>
      </c>
      <c r="G21" s="370">
        <f>SUM(G14:G20)</f>
        <v>355005</v>
      </c>
      <c r="I21" s="370">
        <f>SUM(I14:I20)</f>
        <v>367430.17499999999</v>
      </c>
      <c r="K21" s="370">
        <f>SUM(K14:K20)</f>
        <v>380290.23112499993</v>
      </c>
      <c r="M21" s="370">
        <f>SUM(M14:M20)</f>
        <v>393600.38921437494</v>
      </c>
      <c r="O21" s="370">
        <f>SUM(O14:O20)</f>
        <v>407376.40283687797</v>
      </c>
      <c r="Q21" s="370">
        <f>SUM(Q14:Q20)</f>
        <v>421634.57693616871</v>
      </c>
      <c r="S21" s="370">
        <f>SUM(S14:S20)</f>
        <v>436391.78712893464</v>
      </c>
      <c r="U21" s="370">
        <f>SUM(U14:U20)</f>
        <v>451665.4996784472</v>
      </c>
      <c r="W21" s="370">
        <f>SUM(W14:W20)</f>
        <v>467473.79216719279</v>
      </c>
      <c r="Y21" s="370">
        <f>SUM(Y14:Y20)</f>
        <v>483835.37489304459</v>
      </c>
      <c r="AA21" s="370">
        <f>SUM(AA14:AA20)</f>
        <v>500769.61301430111</v>
      </c>
      <c r="AC21" s="370">
        <f>SUM(AC14:AC20)</f>
        <v>518296.5494698016</v>
      </c>
      <c r="AE21" s="370">
        <f>SUM(AE14:AE20)</f>
        <v>536436.92870124453</v>
      </c>
      <c r="AG21" s="370">
        <f>SUM(AG14:AG20)</f>
        <v>555212.22120578808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1200</v>
      </c>
      <c r="F23" s="369"/>
      <c r="G23" s="369">
        <f>E23*$C$23</f>
        <v>1242</v>
      </c>
      <c r="H23" s="369"/>
      <c r="I23" s="369">
        <f>G23*$C$23</f>
        <v>1285.4699999999998</v>
      </c>
      <c r="J23" s="369"/>
      <c r="K23" s="369">
        <f>I23*$C$23</f>
        <v>1330.4614499999998</v>
      </c>
      <c r="L23" s="369"/>
      <c r="M23" s="369">
        <f>K23*$C$23</f>
        <v>1377.0276007499997</v>
      </c>
      <c r="N23" s="369"/>
      <c r="O23" s="369">
        <f>M23*$C$23</f>
        <v>1425.2235667762495</v>
      </c>
      <c r="P23" s="369"/>
      <c r="Q23" s="369">
        <f>O23*$C$23</f>
        <v>1475.1063916134181</v>
      </c>
      <c r="R23" s="369"/>
      <c r="S23" s="369">
        <f>Q23*$C$23</f>
        <v>1526.7351153198877</v>
      </c>
      <c r="T23" s="369"/>
      <c r="U23" s="369">
        <f>S23*$C$23</f>
        <v>1580.1708443560835</v>
      </c>
      <c r="V23" s="369"/>
      <c r="W23" s="369">
        <f>U23*$C$23</f>
        <v>1635.4768239085463</v>
      </c>
      <c r="X23" s="369"/>
      <c r="Y23" s="369">
        <f>W23*$C$23</f>
        <v>1692.7185127453454</v>
      </c>
      <c r="Z23" s="369"/>
      <c r="AA23" s="369">
        <f>Y23*$C$23</f>
        <v>1751.9636606914323</v>
      </c>
      <c r="AB23" s="369"/>
      <c r="AC23" s="369">
        <f>AA23*$C$23</f>
        <v>1813.2823888156322</v>
      </c>
      <c r="AD23" s="369"/>
      <c r="AE23" s="369">
        <f>AC23*$C$23</f>
        <v>1876.7472724241791</v>
      </c>
      <c r="AF23" s="369"/>
      <c r="AG23" s="369">
        <f>AE23*$C$23</f>
        <v>1942.4334269590252</v>
      </c>
    </row>
    <row r="24" spans="1:33" s="350" customFormat="1" ht="14.25">
      <c r="A24" s="350" t="s">
        <v>931</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932</v>
      </c>
      <c r="C25" s="392"/>
      <c r="E25" s="369">
        <f>Application!AC867</f>
        <v>20300</v>
      </c>
      <c r="F25" s="369"/>
      <c r="G25" s="369">
        <f>$E$25</f>
        <v>20300</v>
      </c>
      <c r="H25" s="369"/>
      <c r="I25" s="369">
        <f>$E$25</f>
        <v>20300</v>
      </c>
      <c r="J25" s="369"/>
      <c r="K25" s="369">
        <f>$E$25</f>
        <v>20300</v>
      </c>
      <c r="L25" s="369"/>
      <c r="M25" s="369">
        <f>$E$25</f>
        <v>20300</v>
      </c>
      <c r="N25" s="369"/>
      <c r="O25" s="369">
        <f>$E$25</f>
        <v>20300</v>
      </c>
      <c r="P25" s="369"/>
      <c r="Q25" s="369">
        <f>$E$25</f>
        <v>20300</v>
      </c>
      <c r="R25" s="369"/>
      <c r="S25" s="369">
        <f>$E$25</f>
        <v>20300</v>
      </c>
      <c r="T25" s="369"/>
      <c r="U25" s="369">
        <f>$E$25</f>
        <v>20300</v>
      </c>
      <c r="V25" s="369"/>
      <c r="W25" s="369">
        <f>$E$25</f>
        <v>20300</v>
      </c>
      <c r="X25" s="369"/>
      <c r="Y25" s="369">
        <f>$E$25</f>
        <v>20300</v>
      </c>
      <c r="Z25" s="369"/>
      <c r="AA25" s="369">
        <f>$E$25</f>
        <v>20300</v>
      </c>
      <c r="AB25" s="369"/>
      <c r="AC25" s="369">
        <f>$E$25</f>
        <v>20300</v>
      </c>
      <c r="AD25" s="369"/>
      <c r="AE25" s="369">
        <f>$E$25</f>
        <v>20300</v>
      </c>
      <c r="AF25" s="369"/>
      <c r="AG25" s="369">
        <f>$E$25</f>
        <v>20300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379500</v>
      </c>
      <c r="G30" s="370">
        <f>SUM(G21:G28)</f>
        <v>391997</v>
      </c>
      <c r="I30" s="370">
        <f>SUM(I21:I28)</f>
        <v>404929.89499999996</v>
      </c>
      <c r="K30" s="370">
        <f>SUM(K21:K28)</f>
        <v>418313.91132499994</v>
      </c>
      <c r="M30" s="370">
        <f>SUM(M21:M28)</f>
        <v>432164.8076213749</v>
      </c>
      <c r="O30" s="370">
        <f>SUM(O21:O28)</f>
        <v>446498.89347612293</v>
      </c>
      <c r="Q30" s="370">
        <f>SUM(Q21:Q28)</f>
        <v>461333.04868754727</v>
      </c>
      <c r="S30" s="370">
        <f>SUM(S21:S28)</f>
        <v>476684.74321016669</v>
      </c>
      <c r="U30" s="370">
        <f>SUM(U21:U28)</f>
        <v>492572.05779744865</v>
      </c>
      <c r="W30" s="370">
        <f>SUM(W21:W28)</f>
        <v>509013.70536678412</v>
      </c>
      <c r="Y30" s="370">
        <f>SUM(Y21:Y28)</f>
        <v>526029.05311197496</v>
      </c>
      <c r="AA30" s="370">
        <f>SUM(AA21:AA28)</f>
        <v>543638.14538939437</v>
      </c>
      <c r="AC30" s="370">
        <f>SUM(AC21:AC28)</f>
        <v>561861.72740489361</v>
      </c>
      <c r="AE30" s="370">
        <f>SUM(AE21:AE28)</f>
        <v>580721.26972947246</v>
      </c>
      <c r="AG30" s="370">
        <f>SUM(AG21:AG28)</f>
        <v>600238.99367272004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369160.79999999993</v>
      </c>
      <c r="G32" s="370">
        <f>G10-G30</f>
        <v>375380.31999999983</v>
      </c>
      <c r="I32" s="370">
        <f>I10-I30</f>
        <v>381631.85799999995</v>
      </c>
      <c r="K32" s="370">
        <f>K10-K30</f>
        <v>387911.8854999998</v>
      </c>
      <c r="M32" s="370">
        <f>M10-M30</f>
        <v>394216.63412424974</v>
      </c>
      <c r="O32" s="370">
        <f>O10-O30</f>
        <v>400542.08431314229</v>
      </c>
      <c r="Q32" s="370">
        <f>Q10-Q30</f>
        <v>406883.9535464496</v>
      </c>
      <c r="S32" s="370">
        <f>S10-S30</f>
        <v>413237.68407968001</v>
      </c>
      <c r="U32" s="370">
        <f>U10-U30</f>
        <v>419598.43017464393</v>
      </c>
      <c r="W32" s="370">
        <f>W10-W30</f>
        <v>425961.04480461078</v>
      </c>
      <c r="Y32" s="370">
        <f>Y10-Y30</f>
        <v>432320.06581370463</v>
      </c>
      <c r="AA32" s="370">
        <f>AA10-AA30</f>
        <v>438669.70150942728</v>
      </c>
      <c r="AC32" s="370">
        <f>AC10-AC30</f>
        <v>445003.81566639862</v>
      </c>
      <c r="AE32" s="370">
        <f>AE10-AE30</f>
        <v>451315.91191860195</v>
      </c>
      <c r="AG32" s="370">
        <f>AG10-AG30</f>
        <v>457599.11751655617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 taxable perm loan</v>
      </c>
      <c r="B35" s="373"/>
      <c r="C35" s="367"/>
      <c r="E35" s="369">
        <f>Application!AB618</f>
        <v>315953</v>
      </c>
      <c r="F35" s="369"/>
      <c r="G35" s="369">
        <f>$E$35</f>
        <v>315953</v>
      </c>
      <c r="H35" s="369"/>
      <c r="I35" s="369">
        <f>$E$35</f>
        <v>315953</v>
      </c>
      <c r="J35" s="369"/>
      <c r="K35" s="369">
        <f>$E$35</f>
        <v>315953</v>
      </c>
      <c r="L35" s="369"/>
      <c r="M35" s="369">
        <f>$E$35</f>
        <v>315953</v>
      </c>
      <c r="N35" s="369"/>
      <c r="O35" s="369">
        <f>$E$35</f>
        <v>315953</v>
      </c>
      <c r="P35" s="369"/>
      <c r="Q35" s="369">
        <f>$E$35</f>
        <v>315953</v>
      </c>
      <c r="R35" s="369"/>
      <c r="S35" s="369">
        <f>$E$35</f>
        <v>315953</v>
      </c>
      <c r="T35" s="369"/>
      <c r="U35" s="369">
        <f>$E$35</f>
        <v>315953</v>
      </c>
      <c r="V35" s="369"/>
      <c r="W35" s="369">
        <f>$E$35</f>
        <v>315953</v>
      </c>
      <c r="X35" s="369"/>
      <c r="Y35" s="369">
        <f>$E$35</f>
        <v>315953</v>
      </c>
      <c r="Z35" s="369"/>
      <c r="AA35" s="369">
        <f>$E$35</f>
        <v>315953</v>
      </c>
      <c r="AB35" s="369"/>
      <c r="AC35" s="369">
        <f>$E$35</f>
        <v>315953</v>
      </c>
      <c r="AD35" s="369"/>
      <c r="AE35" s="369">
        <f>$E$35</f>
        <v>315953</v>
      </c>
      <c r="AF35" s="369"/>
      <c r="AG35" s="369">
        <f>$E$35</f>
        <v>315953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315953</v>
      </c>
      <c r="G38" s="370">
        <f>SUM(G35:G37)</f>
        <v>315953</v>
      </c>
      <c r="I38" s="370">
        <f>SUM(I35:I37)</f>
        <v>315953</v>
      </c>
      <c r="K38" s="370">
        <f>SUM(K35:K37)</f>
        <v>315953</v>
      </c>
      <c r="M38" s="370">
        <f>SUM(M35:M37)</f>
        <v>315953</v>
      </c>
      <c r="O38" s="370">
        <f>SUM(O35:O37)</f>
        <v>315953</v>
      </c>
      <c r="Q38" s="370">
        <f>SUM(Q35:Q37)</f>
        <v>315953</v>
      </c>
      <c r="S38" s="370">
        <f>SUM(S35:S37)</f>
        <v>315953</v>
      </c>
      <c r="U38" s="370">
        <f>SUM(U35:U37)</f>
        <v>315953</v>
      </c>
      <c r="W38" s="370">
        <f>SUM(W35:W37)</f>
        <v>315953</v>
      </c>
      <c r="Y38" s="370">
        <f>SUM(Y35:Y37)</f>
        <v>315953</v>
      </c>
      <c r="AA38" s="370">
        <f>SUM(AA35:AA37)</f>
        <v>315953</v>
      </c>
      <c r="AC38" s="370">
        <f>SUM(AC35:AC37)</f>
        <v>315953</v>
      </c>
      <c r="AE38" s="370">
        <f>SUM(AE35:AE37)</f>
        <v>315953</v>
      </c>
      <c r="AG38" s="370">
        <f>SUM(AG35:AG37)</f>
        <v>315953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53207.79999999993</v>
      </c>
      <c r="G40" s="370">
        <f>G32-G38</f>
        <v>59427.319999999832</v>
      </c>
      <c r="I40" s="370">
        <f>I32-I38</f>
        <v>65678.857999999949</v>
      </c>
      <c r="K40" s="370">
        <f>K32-K38</f>
        <v>71958.8854999998</v>
      </c>
      <c r="M40" s="370">
        <f>M32-M38</f>
        <v>78263.634124249744</v>
      </c>
      <c r="O40" s="370">
        <f>O32-O38</f>
        <v>84589.084313142288</v>
      </c>
      <c r="Q40" s="370">
        <f>Q32-Q38</f>
        <v>90930.9535464496</v>
      </c>
      <c r="S40" s="370">
        <f>S32-S38</f>
        <v>97284.68407968001</v>
      </c>
      <c r="U40" s="370">
        <f>U32-U38</f>
        <v>103645.43017464393</v>
      </c>
      <c r="W40" s="370">
        <f>W32-W38</f>
        <v>110008.04480461078</v>
      </c>
      <c r="Y40" s="370">
        <f>Y32-Y38</f>
        <v>116367.06581370463</v>
      </c>
      <c r="AA40" s="370">
        <f>AA32-AA38</f>
        <v>122716.70150942728</v>
      </c>
      <c r="AC40" s="370">
        <f>AC32-AC38</f>
        <v>129050.81566639862</v>
      </c>
      <c r="AE40" s="370">
        <f>AE32-AE38</f>
        <v>135362.91191860195</v>
      </c>
      <c r="AG40" s="370">
        <f>AG32-AG38</f>
        <v>141646.11751655617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6.7517105209729075E-2</v>
      </c>
      <c r="G42" s="374">
        <f>G40/(G4+G6+G8)</f>
        <v>7.3570005952221587E-2</v>
      </c>
      <c r="I42" s="374">
        <f>I40/(I4+I6+I8)</f>
        <v>7.9326149360837234E-2</v>
      </c>
      <c r="K42" s="374">
        <f>K40/(K4+K6+K8)</f>
        <v>8.4791309697869063E-2</v>
      </c>
      <c r="M42" s="374">
        <f>M40/(M4+M6+M8)</f>
        <v>8.997110615284569E-2</v>
      </c>
      <c r="O42" s="374">
        <f>O40/(O4+O6+O8)</f>
        <v>9.4871006485683612E-2</v>
      </c>
      <c r="Q42" s="374">
        <f>Q40/(Q4+Q6+Q8)</f>
        <v>9.9496330579627715E-2</v>
      </c>
      <c r="S42" s="374">
        <f>S40/(S4+S6+S8)</f>
        <v>0.10385225390616522</v>
      </c>
      <c r="U42" s="374">
        <f>U40/(U4+U6+U8)</f>
        <v>0.10794381090404688</v>
      </c>
      <c r="W42" s="374">
        <f>W40/(W4+W6+W8)</f>
        <v>0.1117758982744961</v>
      </c>
      <c r="Y42" s="374">
        <f>Y40/(Y4+Y6+Y8)</f>
        <v>0.11535327819463721</v>
      </c>
      <c r="AA42" s="374">
        <f>AA40/(AA4+AA6+AA8)</f>
        <v>0.11868058145112612</v>
      </c>
      <c r="AC42" s="374">
        <f>AC40/(AC4+AC6+AC8)</f>
        <v>0.12176231049590899</v>
      </c>
      <c r="AE42" s="374">
        <f>AE40/(AE4+AE6+AE8)</f>
        <v>0.12460284242600358</v>
      </c>
      <c r="AG42" s="374">
        <f>AG40/(AG4+AG6+AG8)</f>
        <v>0.12720643188913358</v>
      </c>
    </row>
    <row r="43" spans="1:35" s="374" customFormat="1" ht="14.25">
      <c r="A43" s="374" t="s">
        <v>938</v>
      </c>
      <c r="C43" s="367"/>
      <c r="E43" s="374">
        <f>E40/E38</f>
        <v>0.16840416137843264</v>
      </c>
      <c r="G43" s="374">
        <f>G40/G38</f>
        <v>0.18808911452019708</v>
      </c>
      <c r="I43" s="374">
        <f>I40/I38</f>
        <v>0.20787540551917516</v>
      </c>
      <c r="K43" s="374">
        <f>K40/K38</f>
        <v>0.22775186657509122</v>
      </c>
      <c r="M43" s="374">
        <f>M40/M38</f>
        <v>0.2477065706742767</v>
      </c>
      <c r="O43" s="374">
        <f>O40/O38</f>
        <v>0.26772679579919256</v>
      </c>
      <c r="Q43" s="374">
        <f>Q40/Q38</f>
        <v>0.2877989876546499</v>
      </c>
      <c r="S43" s="374">
        <f>S40/S38</f>
        <v>0.30790872085303828</v>
      </c>
      <c r="U43" s="374">
        <f>U40/U38</f>
        <v>0.32804065849871322</v>
      </c>
      <c r="W43" s="374">
        <f>W40/W38</f>
        <v>0.34817851010944911</v>
      </c>
      <c r="Y43" s="374">
        <f>Y40/Y38</f>
        <v>0.36830498781054344</v>
      </c>
      <c r="AA43" s="374">
        <f>AA40/AA38</f>
        <v>0.38840176073475258</v>
      </c>
      <c r="AC43" s="374">
        <f>AC40/AC38</f>
        <v>0.40844940755871478</v>
      </c>
      <c r="AE43" s="374">
        <f>AE40/AE38</f>
        <v>0.42842736710397417</v>
      </c>
      <c r="AG43" s="374">
        <f>AG40/AG38</f>
        <v>0.44831388692798035</v>
      </c>
    </row>
    <row r="44" spans="1:35" s="375" customFormat="1" ht="14.25">
      <c r="A44" s="375" t="s">
        <v>936</v>
      </c>
      <c r="C44" s="376"/>
      <c r="E44" s="375">
        <f>E32/E38</f>
        <v>1.1684041613784326</v>
      </c>
      <c r="G44" s="375">
        <f>G32/G38</f>
        <v>1.1880891145201971</v>
      </c>
      <c r="I44" s="375">
        <f>I32/I38</f>
        <v>1.2078754055191752</v>
      </c>
      <c r="K44" s="375">
        <f>K32/K38</f>
        <v>1.2277518665750913</v>
      </c>
      <c r="M44" s="375">
        <f>M32/M38</f>
        <v>1.2477065706742767</v>
      </c>
      <c r="O44" s="375">
        <f>O32/O38</f>
        <v>1.2677267957991927</v>
      </c>
      <c r="Q44" s="375">
        <f>Q32/Q38</f>
        <v>1.2877989876546498</v>
      </c>
      <c r="S44" s="375">
        <f>S32/S38</f>
        <v>1.3079087208530382</v>
      </c>
      <c r="U44" s="375">
        <f>U32/U38</f>
        <v>1.3280406584987132</v>
      </c>
      <c r="W44" s="375">
        <f>W32/W38</f>
        <v>1.3481785101094492</v>
      </c>
      <c r="Y44" s="375">
        <f>Y32/Y38</f>
        <v>1.3683049878105433</v>
      </c>
      <c r="AA44" s="375">
        <f>AA32/AA38</f>
        <v>1.3884017607347525</v>
      </c>
      <c r="AC44" s="375">
        <f>AC32/AC38</f>
        <v>1.4084494075587148</v>
      </c>
      <c r="AE44" s="375">
        <f>AE32/AE38</f>
        <v>1.4284273671039742</v>
      </c>
      <c r="AG44" s="375">
        <f>AG32/AG38</f>
        <v>1.4483138869279804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53207.79999999993</v>
      </c>
      <c r="G54" s="255">
        <f>G40-G52</f>
        <v>59427.319999999832</v>
      </c>
      <c r="I54" s="255">
        <f>I40-I52</f>
        <v>65678.857999999949</v>
      </c>
      <c r="K54" s="255">
        <f>K40-K52</f>
        <v>71958.8854999998</v>
      </c>
      <c r="M54" s="255">
        <f>M40-M52</f>
        <v>78263.634124249744</v>
      </c>
      <c r="O54" s="255">
        <f>O40-O52</f>
        <v>84589.084313142288</v>
      </c>
      <c r="Q54" s="255">
        <f>Q40-Q52</f>
        <v>90930.9535464496</v>
      </c>
      <c r="S54" s="255">
        <f>S40-S52</f>
        <v>97284.68407968001</v>
      </c>
      <c r="U54" s="255">
        <f>U40-U52</f>
        <v>103645.43017464393</v>
      </c>
      <c r="W54" s="255">
        <f>W40-W52</f>
        <v>110008.04480461078</v>
      </c>
      <c r="Y54" s="255">
        <f>Y40-Y52</f>
        <v>116367.06581370463</v>
      </c>
      <c r="AA54" s="255">
        <f>AA40-AA52</f>
        <v>122716.70150942728</v>
      </c>
      <c r="AC54" s="255">
        <f>AC40-AC52</f>
        <v>129050.81566639862</v>
      </c>
      <c r="AE54" s="255">
        <f>AE40-AE52</f>
        <v>135362.91191860195</v>
      </c>
      <c r="AG54" s="255">
        <f>AG40-AG52</f>
        <v>141646.11751655617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6" t="s">
        <v>950</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Laughter, Lisa</cp:lastModifiedBy>
  <cp:lastPrinted>2019-12-27T22:34:09Z</cp:lastPrinted>
  <dcterms:created xsi:type="dcterms:W3CDTF">2007-12-27T18:26:28Z</dcterms:created>
  <dcterms:modified xsi:type="dcterms:W3CDTF">2020-08-31T19:36:22Z</dcterms:modified>
</cp:coreProperties>
</file>