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Z:\Shared\S_Shared\_Properties\Beacon Landing\Development\08.0  FINANCING\8.10 CDLAC\8.10.2 Application\Beacon Landing CDLAC app for HCID\"/>
    </mc:Choice>
  </mc:AlternateContent>
  <xr:revisionPtr revIDLastSave="0" documentId="13_ncr:1_{07EB5998-CE16-4713-AF7B-8242F9EC61E2}" xr6:coauthVersionLast="46" xr6:coauthVersionMax="46" xr10:uidLastSave="{00000000-0000-0000-0000-000000000000}"/>
  <bookViews>
    <workbookView xWindow="-110" yWindow="-110" windowWidth="19420" windowHeight="1042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Budget'!$A$1:$K$41</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G36" i="22" l="1"/>
  <c r="G32" i="22"/>
  <c r="C30" i="4" l="1"/>
  <c r="C29" i="4"/>
  <c r="C79" i="4" l="1"/>
  <c r="C88" i="4"/>
  <c r="C45" i="4"/>
  <c r="S45" i="4"/>
  <c r="G52" i="7" l="1"/>
  <c r="AO650" i="3"/>
  <c r="C13" i="4"/>
  <c r="C49" i="4"/>
  <c r="C65" i="4"/>
  <c r="C6" i="4"/>
  <c r="S91" i="4"/>
  <c r="C91" i="4"/>
  <c r="E53" i="4"/>
  <c r="S69" i="4"/>
  <c r="S67" i="4"/>
  <c r="C69" i="4"/>
  <c r="C94" i="4"/>
  <c r="AM570" i="3" l="1"/>
  <c r="G24" i="22"/>
  <c r="AD183" i="20" l="1"/>
  <c r="AD182" i="20"/>
  <c r="B183" i="20"/>
  <c r="B182" i="20"/>
  <c r="S84" i="4"/>
  <c r="S89" i="4"/>
  <c r="S50" i="4"/>
  <c r="S80" i="4"/>
  <c r="S85" i="4"/>
  <c r="S92" i="4"/>
  <c r="S52" i="4"/>
  <c r="S51" i="4"/>
  <c r="S95" i="4"/>
  <c r="S86" i="4"/>
  <c r="S43" i="4"/>
  <c r="S40" i="4"/>
  <c r="S37" i="4"/>
  <c r="S35" i="4"/>
  <c r="S34" i="4"/>
  <c r="S33" i="4"/>
  <c r="S32" i="4"/>
  <c r="S31" i="4"/>
  <c r="S10" i="4"/>
  <c r="E99" i="4"/>
  <c r="J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6" i="4"/>
  <c r="E45" i="4"/>
  <c r="E43" i="4"/>
  <c r="E40" i="4"/>
  <c r="E32" i="4"/>
  <c r="E33" i="4"/>
  <c r="E34" i="4"/>
  <c r="E35" i="4"/>
  <c r="E36" i="4"/>
  <c r="E31" i="4"/>
  <c r="E13" i="4"/>
  <c r="E10" i="4"/>
  <c r="E5" i="4"/>
  <c r="E6" i="4"/>
  <c r="E4" i="4"/>
  <c r="I30" i="4"/>
  <c r="E30" i="4" s="1"/>
  <c r="G30" i="4"/>
  <c r="H45" i="4"/>
  <c r="F30" i="4"/>
  <c r="C95" i="4"/>
  <c r="C43" i="4"/>
  <c r="C40" i="4"/>
  <c r="C33" i="4"/>
  <c r="C32" i="4"/>
  <c r="C35" i="4"/>
  <c r="M945" i="3"/>
  <c r="AA932" i="3"/>
  <c r="W847" i="3"/>
  <c r="R640" i="3"/>
  <c r="O640" i="3"/>
  <c r="R638" i="3"/>
  <c r="O638" i="3"/>
  <c r="R637" i="3"/>
  <c r="I29" i="4" l="1"/>
  <c r="E29" i="4" s="1"/>
  <c r="AG447" i="3"/>
  <c r="AG445" i="3"/>
  <c r="AG441" i="3"/>
  <c r="AD1036" i="3" l="1"/>
  <c r="AK267" i="20" l="1"/>
  <c r="B24" i="4" l="1"/>
  <c r="R36" i="4" l="1"/>
  <c r="B36" i="4"/>
  <c r="S36" i="4" s="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S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W28" i="7"/>
  <c r="U28" i="7"/>
  <c r="S28" i="7"/>
  <c r="AE28" i="7"/>
  <c r="AC28" i="7"/>
  <c r="AA28" i="7"/>
  <c r="Y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65" i="13"/>
  <c r="E52" i="13"/>
  <c r="E51" i="13"/>
  <c r="E50" i="13"/>
  <c r="E49" i="13"/>
  <c r="E48" i="13"/>
  <c r="E47" i="13"/>
  <c r="E46" i="13"/>
  <c r="E45" i="13"/>
  <c r="E43" i="13"/>
  <c r="E41" i="13"/>
  <c r="E40" i="13"/>
  <c r="E37" i="13"/>
  <c r="E35" i="13"/>
  <c r="E34" i="13"/>
  <c r="E33" i="13"/>
  <c r="E32"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S29" i="4" s="1"/>
  <c r="B30" i="4"/>
  <c r="S30" i="4" s="1"/>
  <c r="E30" i="13" s="1"/>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3" i="13" s="1"/>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S79" i="4" s="1"/>
  <c r="S81" i="4" s="1"/>
  <c r="E81" i="13" s="1"/>
  <c r="B83" i="4"/>
  <c r="B84" i="4"/>
  <c r="B85" i="4"/>
  <c r="N153" i="23" s="1"/>
  <c r="B86" i="4"/>
  <c r="B87" i="4"/>
  <c r="B88" i="4"/>
  <c r="B89" i="4"/>
  <c r="B90" i="4"/>
  <c r="B91" i="4"/>
  <c r="B92" i="4"/>
  <c r="B93" i="4"/>
  <c r="B94" i="4"/>
  <c r="S94" i="4" s="1"/>
  <c r="E94" i="13" s="1"/>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38" i="4" l="1"/>
  <c r="E38" i="13" s="1"/>
  <c r="E29" i="13"/>
  <c r="E79" i="13"/>
  <c r="S54" i="4"/>
  <c r="E54" i="13" s="1"/>
  <c r="S96" i="4"/>
  <c r="E96" i="13" s="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P94" i="20" l="1"/>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AB54" i="15"/>
  <c r="AB55" i="15" s="1"/>
  <c r="AB56" i="15" s="1"/>
  <c r="AB57" i="15" l="1"/>
  <c r="M26" i="3"/>
  <c r="P203" i="3" s="1"/>
  <c r="AB59" i="15" l="1"/>
  <c r="AB76" i="15" s="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<sst xmlns="http://schemas.openxmlformats.org/spreadsheetml/2006/main" count="5087" uniqueCount="2668">
  <si>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</si>
  <si>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</si>
  <si>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</si>
  <si>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</si>
  <si>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</si>
  <si>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</si>
  <si>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</si>
  <si>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</si>
  <si>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</si>
  <si>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</si>
  <si>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</si>
  <si>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</si>
  <si>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</si>
  <si>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</si>
  <si>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</si>
  <si>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</si>
  <si>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</si>
  <si>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</si>
  <si>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</si>
  <si>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</si>
  <si>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</si>
  <si>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</si>
  <si>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</si>
  <si>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</si>
  <si>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</si>
  <si>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</si>
  <si>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</si>
  <si>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</si>
  <si>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</si>
  <si>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</si>
  <si>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</si>
  <si>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</si>
  <si>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</si>
  <si>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</si>
  <si>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</si>
  <si>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</si>
  <si>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</si>
  <si>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</si>
  <si>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</si>
  <si>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</si>
  <si>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</si>
  <si>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</si>
  <si>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</si>
  <si>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</si>
  <si>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</si>
  <si>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</si>
  <si>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</si>
  <si>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</si>
  <si>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</si>
  <si>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</si>
  <si>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</si>
  <si>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</si>
  <si>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</si>
  <si>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</si>
  <si>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</si>
  <si>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</si>
  <si>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</si>
  <si>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</si>
  <si>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</si>
  <si>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</si>
  <si>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</si>
  <si>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</si>
  <si>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</si>
  <si>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</si>
  <si>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</si>
  <si>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</si>
  <si>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</si>
  <si>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</si>
  <si>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</si>
  <si>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</si>
  <si>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</si>
  <si>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</si>
  <si>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</si>
  <si>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</si>
  <si>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</si>
  <si>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</si>
  <si>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</si>
  <si>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</si>
  <si>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</si>
  <si>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</si>
  <si>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</si>
  <si>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</si>
  <si>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</si>
  <si>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</si>
  <si>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</si>
  <si>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</si>
  <si>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</si>
  <si>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</si>
  <si>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</si>
  <si>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</si>
  <si>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</si>
  <si>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</si>
  <si>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</si>
  <si>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</si>
  <si>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</si>
  <si>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</si>
  <si>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</si>
  <si>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</si>
  <si>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</si>
  <si>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</si>
  <si>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</si>
  <si>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</si>
  <si>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</si>
  <si>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</si>
  <si>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</si>
  <si>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</si>
  <si>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</si>
  <si>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</si>
  <si>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</si>
  <si>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</si>
  <si>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</si>
  <si>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</si>
  <si>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</si>
  <si>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</si>
  <si>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</si>
  <si>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</si>
  <si>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</si>
  <si>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</si>
  <si>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</si>
  <si>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</si>
  <si>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</si>
  <si>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</si>
  <si>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</si>
  <si>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</si>
  <si>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</si>
  <si>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</si>
  <si>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</si>
  <si>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</si>
  <si>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</si>
  <si>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</si>
  <si>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</si>
  <si>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</si>
  <si>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</si>
  <si>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</si>
  <si>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</si>
  <si>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</si>
  <si>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</si>
  <si>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</si>
  <si>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</si>
  <si>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</si>
  <si>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</si>
  <si>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</si>
  <si>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</si>
  <si>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</si>
  <si>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</si>
  <si>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</si>
  <si>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</si>
  <si>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</si>
  <si>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</si>
  <si>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</si>
  <si>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</si>
  <si>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</si>
  <si>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</si>
  <si>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</si>
  <si>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</si>
  <si>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</si>
  <si>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</si>
  <si>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</si>
  <si>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</si>
  <si>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</si>
  <si>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</si>
  <si>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</si>
  <si>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</si>
  <si>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</si>
  <si>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</si>
  <si>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</si>
  <si>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</si>
  <si>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</si>
  <si>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</si>
  <si>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</si>
  <si>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</si>
  <si>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</si>
  <si>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</si>
  <si>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</si>
  <si>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</si>
  <si>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</si>
  <si>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</si>
  <si>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</si>
  <si>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</si>
  <si>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</si>
  <si>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</si>
  <si>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</si>
  <si>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</si>
  <si>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</si>
  <si>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</si>
  <si>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</si>
  <si>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</si>
  <si>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</si>
  <si>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</si>
  <si>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</si>
  <si>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</si>
  <si>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</si>
  <si>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</si>
  <si>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</si>
  <si>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</si>
  <si>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</si>
  <si>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</si>
  <si>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</si>
  <si>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</si>
  <si>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</si>
  <si>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</si>
  <si>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</si>
  <si>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</si>
  <si>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</si>
  <si>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</si>
  <si>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</si>
  <si>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</si>
  <si>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</si>
  <si>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</si>
  <si>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</si>
  <si>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</si>
  <si>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</si>
  <si>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</si>
  <si>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</si>
  <si>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</si>
  <si>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</si>
  <si>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</si>
  <si>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</si>
  <si>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</si>
  <si>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</si>
  <si>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</si>
  <si>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</si>
  <si>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</si>
  <si>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</si>
  <si>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</si>
  <si>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</si>
  <si>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</si>
  <si>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</si>
  <si>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</si>
  <si>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</si>
  <si>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</si>
  <si>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</si>
  <si>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</si>
  <si>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</si>
  <si>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</si>
  <si>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</si>
  <si>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</si>
  <si>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</si>
  <si>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</si>
  <si>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</si>
  <si>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</si>
  <si>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</si>
  <si>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</si>
  <si>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</si>
  <si>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</si>
  <si>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</si>
  <si>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</si>
  <si>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</si>
  <si>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</si>
  <si>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</si>
  <si>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</si>
  <si>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</si>
  <si>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</si>
  <si>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</si>
  <si>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</si>
  <si>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</si>
  <si>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</si>
  <si>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</si>
  <si>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</si>
  <si>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</si>
  <si>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</si>
  <si>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</si>
  <si>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</si>
  <si>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</si>
  <si>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</si>
  <si>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</si>
  <si>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</si>
  <si>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</si>
  <si>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</si>
  <si>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</si>
  <si>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</si>
  <si>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</si>
  <si>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</si>
  <si>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</si>
  <si>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</si>
  <si>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</si>
  <si>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</si>
  <si>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</si>
  <si>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</si>
  <si>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</si>
  <si>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</si>
  <si>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</si>
  <si>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</si>
  <si>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</si>
  <si>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</si>
  <si>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</si>
  <si>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</si>
  <si>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</si>
  <si>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</si>
  <si>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</si>
  <si>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</si>
  <si>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</si>
  <si>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</si>
  <si>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</si>
  <si>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</si>
  <si>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</si>
  <si>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</si>
  <si>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</si>
  <si>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</si>
  <si>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</si>
  <si>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</si>
  <si>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</si>
  <si>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</si>
  <si>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</si>
  <si>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</si>
  <si>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</si>
  <si>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</si>
  <si>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</si>
  <si>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</si>
  <si>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</si>
  <si>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</si>
  <si>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</si>
  <si>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</si>
  <si>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</si>
  <si>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</si>
  <si>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</si>
  <si>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</si>
  <si>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</si>
  <si>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</si>
  <si>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</si>
  <si>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</si>
  <si>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</si>
  <si>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</si>
  <si>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</si>
  <si>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</si>
  <si>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</si>
  <si>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</si>
  <si>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</si>
  <si>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</si>
  <si>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</si>
  <si>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</si>
  <si>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</si>
  <si>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</si>
  <si>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</si>
  <si>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</si>
  <si>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</si>
  <si>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</si>
  <si>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</si>
  <si>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</si>
  <si>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</si>
  <si>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</si>
  <si>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</si>
  <si>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</si>
  <si>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</si>
  <si>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</si>
  <si>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</si>
  <si>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</si>
  <si>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</si>
  <si>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</si>
  <si>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</si>
  <si>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</si>
  <si>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</si>
  <si>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</si>
  <si>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</si>
  <si>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</si>
  <si>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</si>
  <si>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</si>
  <si>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</si>
  <si>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</si>
  <si>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</si>
  <si>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</si>
  <si>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</si>
  <si>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</si>
  <si>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</si>
  <si>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</si>
  <si>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</si>
  <si>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</si>
  <si>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</si>
  <si>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</si>
  <si>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</si>
  <si>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</si>
  <si>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</si>
  <si>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</si>
  <si>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</si>
  <si>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</si>
  <si>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</si>
  <si>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</si>
  <si>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</si>
  <si>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</si>
  <si>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</si>
  <si>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</si>
  <si>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</si>
  <si>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</si>
  <si>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</si>
  <si>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</si>
  <si>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</si>
  <si>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</si>
  <si>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</si>
  <si>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</si>
  <si>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</si>
  <si>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</si>
  <si>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</si>
  <si>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</si>
  <si>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</si>
  <si>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</si>
  <si>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</si>
  <si>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</si>
  <si>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</si>
  <si>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</si>
  <si>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</si>
  <si>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</si>
  <si>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</si>
  <si>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</si>
  <si>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</si>
  <si>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</si>
  <si>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</si>
  <si>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</si>
  <si>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</si>
  <si>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</si>
  <si>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</si>
  <si>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</si>
  <si>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</si>
  <si>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</si>
  <si>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</si>
  <si>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</si>
  <si>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</si>
  <si>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</si>
  <si>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</si>
  <si>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</si>
  <si>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</si>
  <si>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</si>
  <si>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</si>
  <si>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</si>
  <si>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</si>
  <si>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</si>
  <si>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</si>
  <si>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</si>
  <si>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</si>
  <si>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</si>
  <si>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</si>
  <si>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</si>
  <si>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</si>
  <si>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</si>
  <si>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</si>
  <si>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</si>
  <si>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</si>
  <si>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</si>
  <si>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</si>
  <si>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</si>
  <si>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</si>
  <si>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</si>
  <si>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</si>
  <si>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</si>
  <si>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</si>
  <si>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</si>
  <si>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</si>
  <si>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</si>
  <si>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</si>
  <si>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</si>
  <si>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</si>
  <si>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</si>
  <si>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</si>
  <si>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</si>
  <si>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</si>
  <si>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</si>
  <si>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</si>
  <si>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</si>
  <si>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</si>
  <si>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</si>
  <si>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</si>
  <si>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</si>
  <si>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</si>
  <si>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</si>
  <si>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</si>
  <si>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</si>
  <si>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</si>
  <si>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</si>
  <si>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</si>
  <si>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</si>
  <si>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</si>
  <si>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</si>
  <si>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</si>
  <si>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</si>
  <si>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</si>
  <si>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</si>
  <si>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</si>
  <si>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</si>
  <si>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</si>
  <si>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</si>
  <si>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</si>
  <si>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</si>
  <si>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</si>
  <si>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</si>
  <si>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</si>
  <si>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</si>
  <si>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</si>
  <si>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</si>
  <si>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</si>
  <si>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</si>
  <si>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</si>
  <si>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</si>
  <si>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</si>
  <si>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</si>
  <si>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</si>
  <si>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</si>
  <si>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</si>
  <si>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</si>
  <si>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</si>
  <si>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</si>
  <si>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</si>
  <si>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</si>
  <si>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</si>
  <si>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</si>
  <si>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</si>
  <si>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</si>
  <si>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</si>
  <si>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</si>
  <si>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</si>
  <si>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</si>
  <si>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</si>
  <si>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</si>
  <si>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</si>
  <si>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</si>
  <si>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</si>
  <si>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</si>
  <si>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</si>
  <si>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</si>
  <si>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</si>
  <si>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</si>
  <si>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</si>
  <si>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</si>
  <si>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</si>
  <si>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</si>
  <si>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</si>
  <si>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</si>
  <si>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</si>
  <si>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</si>
  <si>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</si>
  <si>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</si>
  <si>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</si>
  <si>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</si>
  <si>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</si>
  <si>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</si>
  <si>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</si>
  <si>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</si>
  <si>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</si>
  <si>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</si>
  <si>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</si>
  <si>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</si>
  <si>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</si>
  <si>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</si>
  <si>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</si>
  <si>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</si>
  <si>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</si>
  <si>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</si>
  <si>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</si>
  <si>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</si>
  <si>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</si>
  <si>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</si>
  <si>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</si>
  <si>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</si>
  <si>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</si>
  <si>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</si>
  <si>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</si>
  <si>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</si>
  <si>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</si>
  <si>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</si>
  <si>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</si>
  <si>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</si>
  <si>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</si>
  <si>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</si>
  <si>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</si>
  <si>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</si>
  <si>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</si>
  <si>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</si>
  <si>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</si>
  <si>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</si>
  <si>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</si>
  <si>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</si>
  <si>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</si>
  <si>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</si>
  <si>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</si>
  <si>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</si>
  <si>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</si>
  <si>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</si>
  <si>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</si>
  <si>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</si>
  <si>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</si>
  <si>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</si>
  <si>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</si>
  <si>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</si>
  <si>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</si>
  <si>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</si>
  <si>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</si>
  <si>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</si>
  <si>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</si>
  <si>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</si>
  <si>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</si>
  <si>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</si>
  <si>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</si>
  <si>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</si>
  <si>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</si>
  <si>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</si>
  <si>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</si>
  <si>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</si>
  <si>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</si>
  <si>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</si>
  <si>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</si>
  <si>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</si>
  <si>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</si>
  <si>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</si>
  <si>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</si>
  <si>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</si>
  <si>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</si>
  <si>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</si>
  <si>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</si>
  <si>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</si>
  <si>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</si>
  <si>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</si>
  <si>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</si>
  <si>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</si>
  <si>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</si>
  <si>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</si>
  <si>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</si>
  <si>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</si>
  <si>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</si>
  <si>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</si>
  <si>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</si>
  <si>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</si>
  <si>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</si>
  <si>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</si>
  <si>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</si>
  <si>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</si>
  <si>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</si>
  <si>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</si>
  <si>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</si>
  <si>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</si>
  <si>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</si>
  <si>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</si>
  <si>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</si>
  <si>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</si>
  <si>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</si>
  <si>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</si>
  <si>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</si>
  <si>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</si>
  <si>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</si>
  <si>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</si>
  <si>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</si>
  <si>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</si>
  <si>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</si>
  <si>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</si>
  <si>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</si>
  <si>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</si>
  <si>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</si>
  <si>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</si>
  <si>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</si>
  <si>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</si>
  <si>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</si>
  <si>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</si>
  <si>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</si>
  <si>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</si>
  <si>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</si>
  <si>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</si>
  <si>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</si>
  <si>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</si>
  <si>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</si>
  <si>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</si>
  <si>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</si>
  <si>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</si>
  <si>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</si>
  <si>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</si>
  <si>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</si>
  <si>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</si>
  <si>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</si>
  <si>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</si>
  <si>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</si>
  <si>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</si>
  <si>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</si>
  <si>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</si>
  <si>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</si>
  <si>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</si>
  <si>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</si>
  <si>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</si>
  <si>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</si>
  <si>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</si>
  <si>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</si>
  <si>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</si>
  <si>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</si>
  <si>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</si>
  <si>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</si>
  <si>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</si>
  <si>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</si>
  <si>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</si>
  <si>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</si>
  <si>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</si>
  <si>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</si>
  <si>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</si>
  <si>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</si>
  <si>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</si>
  <si>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</si>
  <si>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</si>
  <si>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</si>
  <si>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</si>
  <si>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</si>
  <si>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</si>
  <si>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</si>
  <si>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</si>
  <si>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</si>
  <si>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</si>
  <si>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</si>
  <si>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</si>
  <si>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</si>
  <si>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</si>
  <si>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</si>
  <si>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</si>
  <si>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</si>
  <si>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</si>
  <si>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</si>
  <si>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</si>
  <si>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</si>
  <si>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</si>
  <si>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</si>
  <si>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</si>
  <si>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</si>
  <si>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</si>
  <si>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</si>
  <si>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</si>
  <si>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</si>
  <si>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</si>
  <si>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</si>
  <si>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</si>
  <si>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</si>
  <si>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</si>
  <si>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</si>
  <si>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</si>
  <si>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</si>
  <si>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</si>
  <si>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</si>
  <si>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</si>
  <si>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</si>
  <si>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</si>
  <si>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</si>
  <si>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</si>
  <si>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</si>
  <si>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</si>
  <si>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</si>
  <si>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</si>
  <si>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</si>
  <si>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</si>
  <si>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</si>
  <si>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</si>
  <si>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</si>
  <si>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</si>
  <si>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</si>
  <si>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</si>
  <si>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</si>
  <si>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</si>
  <si>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</si>
  <si>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</si>
  <si>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</si>
  <si>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</si>
  <si>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</si>
  <si>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</si>
  <si>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</si>
  <si>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</si>
  <si>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</si>
  <si>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</si>
  <si>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</si>
  <si>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</si>
  <si>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</si>
  <si>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</si>
  <si>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</si>
  <si>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</si>
  <si>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</si>
  <si>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</si>
  <si>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</si>
  <si>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</si>
  <si>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</si>
  <si>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</si>
  <si>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</si>
  <si>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</si>
  <si>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</si>
  <si>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</si>
  <si>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</si>
  <si>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</si>
  <si>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</si>
  <si>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</si>
  <si>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</si>
  <si>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</si>
  <si>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</si>
  <si>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</si>
  <si>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</si>
  <si>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</si>
  <si>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</si>
  <si>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</si>
  <si>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</si>
  <si>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</si>
  <si>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</si>
  <si>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</si>
  <si>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</si>
  <si>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</si>
  <si>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</si>
  <si>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</si>
  <si>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</si>
  <si>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</si>
  <si>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</si>
  <si>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</si>
  <si>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</si>
  <si>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</si>
  <si>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</si>
  <si>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</si>
  <si>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</si>
  <si>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</si>
  <si>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</si>
  <si>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</si>
  <si>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</si>
  <si>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</si>
  <si>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</si>
  <si>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</si>
  <si>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</si>
  <si>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</si>
  <si>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</si>
  <si>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</si>
  <si>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</si>
  <si>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</si>
  <si>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</si>
  <si>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</si>
  <si>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</si>
  <si>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</si>
  <si>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</si>
  <si>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</si>
  <si>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</si>
  <si>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</si>
  <si>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</si>
  <si>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</si>
  <si>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</si>
  <si>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</si>
  <si>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</si>
  <si>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</si>
  <si>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</si>
  <si>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</si>
  <si>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</si>
  <si>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</si>
  <si>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</si>
  <si>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</si>
  <si>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</si>
  <si>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</si>
  <si>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</si>
  <si>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</si>
  <si>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</si>
  <si>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</si>
  <si>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</si>
  <si>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</si>
  <si>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</si>
  <si>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</si>
  <si>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</si>
  <si>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</si>
  <si>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</si>
  <si>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</si>
  <si>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</si>
  <si>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</si>
  <si>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</si>
  <si>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</si>
  <si>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</si>
  <si>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</si>
  <si>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</si>
  <si>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</si>
  <si>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</si>
  <si>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</si>
  <si>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</si>
  <si>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</si>
  <si>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</si>
  <si>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</si>
  <si>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</si>
  <si>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</si>
  <si>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</si>
  <si>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</si>
  <si>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</si>
  <si>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</si>
  <si>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</si>
  <si>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</si>
  <si>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</si>
  <si>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</si>
  <si>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</si>
  <si>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</si>
  <si>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</si>
  <si>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</si>
  <si>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</si>
  <si>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</si>
  <si>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</si>
  <si>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</si>
  <si>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</si>
  <si>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</si>
  <si>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</si>
  <si>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</si>
  <si>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</si>
  <si>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</si>
  <si>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</si>
  <si>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</si>
  <si>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</si>
  <si>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</si>
  <si>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</si>
  <si>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</si>
  <si>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</si>
  <si>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</si>
  <si>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</si>
  <si>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</si>
  <si>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</si>
  <si>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</si>
  <si>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</si>
  <si>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</si>
  <si>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</si>
  <si>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</si>
  <si>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</si>
  <si>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</si>
  <si>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</si>
  <si>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</si>
  <si>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</si>
  <si>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</si>
  <si>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</si>
  <si>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</si>
  <si>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</si>
  <si>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</si>
  <si>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</si>
  <si>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</si>
  <si>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</si>
  <si>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</si>
  <si>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</si>
  <si>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</si>
  <si>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</si>
  <si>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</si>
  <si>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</si>
  <si>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</si>
  <si>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</si>
  <si>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</si>
  <si>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</si>
  <si>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</si>
  <si>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</si>
  <si>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</si>
  <si>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</si>
  <si>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</si>
  <si>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</si>
  <si>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</si>
  <si>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</si>
  <si>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</si>
  <si>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</si>
  <si>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</si>
  <si>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</si>
  <si>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</si>
  <si>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</si>
  <si>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</si>
  <si>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</si>
  <si>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</si>
  <si>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</si>
  <si>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</si>
  <si>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</si>
  <si>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</si>
  <si>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</si>
  <si>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</si>
  <si>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</si>
  <si>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</si>
  <si>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</si>
  <si>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</si>
  <si>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</si>
  <si>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</si>
  <si>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</si>
  <si>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</si>
  <si>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</si>
  <si>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</si>
  <si>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</si>
  <si>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</si>
  <si>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</si>
  <si>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</si>
  <si>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</si>
  <si>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</si>
  <si>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</si>
  <si>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</si>
  <si>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</si>
  <si>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</si>
  <si>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</si>
  <si>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</si>
  <si>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</si>
  <si>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</si>
  <si>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</si>
  <si>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</si>
  <si>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</si>
  <si>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</si>
  <si>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</si>
  <si>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</si>
  <si>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</si>
  <si>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</si>
  <si>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</si>
  <si>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</si>
  <si>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</si>
  <si>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</si>
  <si>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</si>
  <si>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</si>
  <si>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</si>
  <si>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</si>
  <si>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</si>
  <si>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</si>
  <si>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</si>
  <si>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</si>
  <si>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</si>
  <si>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</si>
  <si>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</si>
  <si>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</si>
  <si>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</si>
  <si>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</si>
  <si>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</si>
  <si>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</si>
  <si>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</si>
  <si>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</si>
  <si>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</si>
  <si>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</si>
  <si>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</si>
  <si>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</si>
  <si>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</si>
  <si>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</si>
  <si>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</si>
  <si>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</si>
  <si>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</si>
  <si>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</si>
  <si>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</si>
  <si>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</si>
  <si>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</si>
  <si>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</si>
  <si>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</si>
  <si>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</si>
  <si>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</si>
  <si>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</si>
  <si>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</si>
  <si>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</si>
  <si>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</si>
  <si>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</si>
  <si>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</si>
  <si>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</si>
  <si>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</si>
  <si>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</si>
  <si>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</si>
  <si>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</si>
  <si>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</si>
  <si>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</si>
  <si>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</si>
  <si>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</si>
  <si>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</si>
  <si>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</si>
  <si>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</si>
  <si>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</si>
  <si>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</si>
  <si>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</si>
  <si>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</si>
  <si>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</si>
  <si>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</si>
  <si>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</si>
  <si>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</si>
  <si>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</si>
  <si>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</si>
  <si>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</si>
  <si>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</si>
  <si>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</si>
  <si>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</si>
  <si>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</si>
  <si>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</si>
  <si>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</si>
  <si>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</si>
  <si>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</si>
  <si>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</si>
  <si>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</si>
  <si>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</si>
  <si>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</si>
  <si>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</si>
  <si>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</si>
  <si>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</si>
  <si>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</si>
  <si>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</si>
  <si>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</si>
  <si>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</si>
  <si>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</si>
  <si>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</si>
  <si>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</si>
  <si>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</si>
  <si>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</si>
  <si>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</si>
  <si>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</si>
  <si>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</si>
  <si>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</si>
  <si>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</si>
  <si>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</si>
  <si>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</si>
  <si>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</si>
  <si>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</si>
  <si>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</si>
  <si>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</si>
  <si>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</si>
  <si>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</si>
  <si>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</si>
  <si>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</si>
  <si>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</si>
  <si>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</si>
  <si>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</si>
  <si>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</si>
  <si>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</si>
  <si>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</si>
  <si>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</si>
  <si>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</si>
  <si>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</si>
  <si>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</si>
  <si>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</si>
  <si>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</si>
  <si>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</si>
  <si>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</si>
  <si>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</si>
  <si>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</si>
  <si>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</si>
  <si>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</si>
  <si>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</si>
  <si>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</si>
  <si>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</si>
  <si>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</si>
  <si>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</si>
  <si>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</si>
  <si>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</si>
  <si>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</si>
  <si>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</si>
  <si>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</si>
  <si>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</si>
  <si>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</si>
  <si>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</si>
  <si>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</si>
  <si>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</si>
  <si>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</si>
  <si>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</si>
  <si>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</si>
  <si>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</si>
  <si>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</si>
  <si>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</si>
  <si>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</si>
  <si>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</si>
  <si>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</si>
  <si>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</si>
  <si>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</si>
  <si>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</si>
  <si>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</si>
  <si>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</si>
  <si>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</si>
  <si>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</si>
  <si>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</si>
  <si>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</si>
  <si>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</si>
  <si>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</si>
  <si>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</si>
  <si>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</si>
  <si>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</si>
  <si>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</si>
  <si>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</si>
  <si>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</si>
  <si>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</si>
  <si>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</si>
  <si>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</si>
  <si>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</si>
  <si>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</si>
  <si>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</si>
  <si>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</si>
  <si>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</si>
  <si>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</si>
  <si>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</si>
  <si>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</si>
  <si>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</si>
  <si>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</si>
  <si>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</si>
  <si>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</si>
  <si>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</si>
  <si>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</si>
  <si>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</si>
  <si>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</si>
  <si>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</si>
  <si>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</si>
  <si>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</si>
  <si>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</si>
  <si>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</si>
  <si>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</si>
  <si>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</si>
  <si>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</si>
  <si>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</si>
  <si>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</si>
  <si>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</si>
  <si>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</si>
  <si>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</si>
  <si>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</si>
  <si>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</si>
  <si>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</si>
  <si>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</si>
  <si>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</si>
  <si>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</si>
  <si>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</si>
  <si>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</si>
  <si>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</si>
  <si>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</si>
  <si>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</si>
  <si>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</si>
  <si>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</si>
  <si>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</si>
  <si>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</si>
  <si>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</si>
  <si>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</si>
  <si>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</si>
  <si>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</si>
  <si>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</si>
  <si>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</si>
  <si>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</si>
  <si>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</si>
  <si>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</si>
  <si>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</si>
  <si>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</si>
  <si>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</si>
  <si>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</si>
  <si>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</si>
  <si>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</si>
  <si>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</si>
  <si>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</si>
  <si>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</si>
  <si>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</si>
  <si>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</si>
  <si>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</si>
  <si>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</si>
  <si>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</si>
  <si>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</si>
  <si>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</si>
  <si>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</si>
  <si>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</si>
  <si>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</si>
  <si>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</si>
  <si>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</si>
  <si>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</si>
  <si>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</si>
  <si>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</si>
  <si>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</si>
  <si>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</si>
  <si>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</si>
  <si>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</si>
  <si>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</si>
  <si>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</si>
  <si>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</si>
  <si>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</si>
  <si>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</si>
  <si>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</si>
  <si>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</si>
  <si>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</si>
  <si>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</si>
  <si>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</si>
  <si>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</si>
  <si>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</si>
  <si>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</si>
  <si>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</si>
  <si>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</si>
  <si>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</si>
  <si>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</si>
  <si>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</si>
  <si>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</si>
  <si>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</si>
  <si>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</si>
  <si>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</si>
  <si>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</si>
  <si>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</si>
  <si>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</si>
  <si>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</si>
  <si>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</si>
  <si>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</si>
  <si>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</si>
  <si>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</si>
  <si>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</si>
  <si>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</si>
  <si>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</si>
  <si>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</si>
  <si>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</si>
  <si>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</si>
  <si>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</si>
  <si>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</si>
  <si>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</si>
  <si>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</si>
  <si>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</si>
  <si>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</si>
  <si>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</si>
  <si>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</si>
  <si>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</si>
  <si>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</si>
  <si>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</si>
  <si>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</si>
  <si>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</si>
  <si>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</si>
  <si>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</si>
  <si>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</si>
  <si>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</si>
  <si>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</si>
  <si>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</si>
  <si>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</si>
  <si>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</si>
  <si>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</si>
  <si>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</si>
  <si>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</si>
  <si>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</si>
  <si>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</si>
  <si>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</si>
  <si>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</si>
  <si>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</si>
  <si>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</si>
  <si>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</si>
  <si>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</si>
  <si>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</si>
  <si>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</si>
  <si>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</si>
  <si>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</si>
  <si>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</si>
  <si>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</si>
  <si>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</si>
  <si>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</si>
  <si>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</si>
  <si>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</si>
  <si>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</si>
  <si>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</si>
  <si>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</si>
  <si>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</si>
  <si>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</si>
  <si>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</si>
  <si>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</si>
  <si>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</si>
  <si>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</si>
  <si>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</si>
  <si>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</si>
  <si>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</si>
  <si>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</si>
  <si>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</si>
  <si>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</si>
  <si>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</si>
  <si>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</si>
  <si>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</si>
  <si>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</si>
  <si>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</si>
  <si>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</si>
  <si>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</si>
  <si>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</si>
  <si>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</si>
  <si>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</si>
  <si>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</si>
  <si>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</si>
  <si>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</si>
  <si>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</si>
  <si>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</si>
  <si>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</si>
  <si>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</si>
  <si>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</si>
  <si>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</si>
  <si>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</si>
  <si>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</si>
  <si>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</si>
  <si>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</si>
  <si>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</si>
  <si>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</si>
  <si>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</si>
  <si>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</si>
  <si>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</si>
  <si>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</si>
  <si>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</si>
  <si>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</si>
  <si>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</si>
  <si>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</si>
  <si>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</si>
  <si>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</si>
  <si>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</si>
  <si>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</si>
  <si>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</si>
  <si>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</si>
  <si>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</si>
  <si>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</si>
  <si>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</si>
  <si>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</si>
  <si>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</si>
  <si>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</si>
  <si>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</si>
  <si>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</si>
  <si>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</si>
  <si>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</si>
  <si>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</si>
  <si>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</si>
  <si>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</si>
  <si>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</si>
  <si>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</si>
  <si>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</si>
  <si>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</si>
  <si>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</si>
  <si>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</si>
  <si>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</si>
  <si>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</si>
  <si>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</si>
  <si>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</si>
  <si>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</si>
  <si>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</si>
  <si>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</si>
  <si>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</si>
  <si>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</si>
  <si>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</si>
  <si>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</si>
  <si>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</si>
  <si>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</si>
  <si>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</si>
  <si>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</si>
  <si>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</si>
  <si>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</si>
  <si>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</si>
  <si>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</si>
  <si>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</si>
  <si>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</si>
  <si>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</si>
  <si>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</si>
  <si>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</si>
  <si>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</si>
  <si>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</si>
  <si>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</si>
  <si>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</si>
  <si>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</si>
  <si>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</si>
  <si>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</si>
  <si>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</si>
  <si>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</si>
  <si>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</si>
  <si>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</si>
  <si>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</si>
  <si>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</si>
  <si>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</si>
  <si>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</si>
  <si>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</si>
  <si>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</si>
  <si>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</si>
  <si>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</si>
  <si>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</si>
  <si>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</si>
  <si>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</si>
  <si>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</si>
  <si>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</si>
  <si>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</si>
  <si>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</si>
  <si>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</si>
  <si>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</si>
  <si>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</si>
  <si>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</si>
  <si>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</si>
  <si>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</si>
  <si>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</si>
  <si>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</si>
  <si>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</si>
  <si>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</si>
  <si>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</si>
  <si>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</si>
  <si>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</si>
  <si>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</si>
  <si>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</si>
  <si>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</si>
  <si>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</si>
  <si>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</si>
  <si>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</si>
  <si>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</si>
  <si>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</si>
  <si>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</si>
  <si>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</si>
  <si>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</si>
  <si>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</si>
  <si>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</si>
  <si>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</si>
  <si>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</si>
  <si>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</si>
  <si>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</si>
  <si>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</si>
  <si>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</si>
  <si>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</si>
  <si>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</si>
  <si>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</si>
  <si>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</si>
  <si>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</si>
  <si>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</si>
  <si>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</si>
  <si>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</si>
  <si>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</si>
  <si>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</si>
  <si>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</si>
  <si>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</si>
  <si>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</si>
  <si>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</si>
  <si>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</si>
  <si>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</si>
  <si>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</si>
  <si>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</si>
  <si>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</si>
  <si>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</si>
  <si>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</si>
  <si>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</si>
  <si>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</si>
  <si>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</si>
  <si>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</si>
  <si>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</si>
  <si>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</si>
  <si>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</si>
  <si>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</si>
  <si>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</si>
  <si>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</si>
  <si>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</si>
  <si>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</si>
  <si>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</si>
  <si>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</si>
  <si>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</si>
  <si>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</si>
  <si>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</si>
  <si>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</si>
  <si>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</si>
  <si>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</si>
  <si>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</si>
  <si>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</si>
  <si>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</si>
  <si>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</si>
  <si>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</si>
  <si>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</si>
  <si>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</si>
  <si>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</si>
  <si>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</si>
  <si>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</si>
  <si>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</si>
  <si>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</si>
  <si>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</si>
  <si>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</si>
  <si>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</si>
  <si>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</si>
  <si>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</si>
  <si>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</si>
  <si>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</si>
  <si>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</si>
  <si>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</si>
  <si>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</si>
  <si>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</si>
  <si>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</si>
  <si>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</si>
  <si>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</si>
  <si>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</si>
  <si>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</si>
  <si>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</si>
  <si>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</si>
  <si>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</si>
  <si>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</si>
  <si>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</si>
  <si>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</si>
  <si>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</si>
  <si>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</si>
  <si>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</si>
  <si>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</si>
  <si>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</si>
  <si>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</si>
  <si>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</si>
  <si>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</si>
  <si>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</si>
  <si>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</si>
  <si>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</si>
  <si>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</si>
  <si>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</si>
  <si>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</si>
  <si>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</si>
  <si>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</si>
  <si>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</si>
  <si>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</si>
  <si>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</si>
  <si>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</si>
  <si>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</si>
  <si>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</si>
  <si>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</si>
  <si>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</si>
  <si>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</si>
  <si>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</si>
  <si>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</si>
  <si>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</si>
  <si>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</si>
  <si>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</si>
  <si>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</si>
  <si>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</si>
  <si>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</si>
  <si>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</si>
  <si>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</si>
  <si>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</si>
  <si>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</si>
  <si>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</si>
  <si>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</si>
  <si>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</si>
  <si>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</si>
  <si>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</si>
  <si>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</si>
  <si>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</si>
  <si>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</si>
  <si>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</si>
  <si>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</si>
  <si>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</si>
  <si>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</si>
  <si>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</si>
  <si>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</si>
  <si>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</si>
  <si>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</si>
  <si>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</si>
  <si>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</si>
  <si>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</si>
  <si>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</si>
  <si>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</si>
  <si>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</si>
  <si>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</si>
  <si>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</si>
  <si>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</si>
  <si>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</si>
  <si>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</si>
  <si>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</si>
  <si>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</si>
  <si>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</si>
  <si>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</si>
  <si>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</si>
  <si>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</si>
  <si>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</si>
  <si>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</si>
  <si>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</si>
  <si>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</si>
  <si>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</si>
  <si>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</si>
  <si>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</si>
  <si>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</si>
  <si>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</si>
  <si>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</si>
  <si>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</si>
  <si>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</si>
  <si>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</si>
  <si>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</si>
  <si>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</si>
  <si>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</si>
  <si>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</si>
  <si>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</si>
  <si>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</si>
  <si>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</si>
  <si>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</si>
  <si>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</si>
  <si>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</si>
  <si>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</si>
  <si>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</si>
  <si>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</si>
  <si>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</si>
  <si>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</si>
  <si>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</si>
  <si>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</si>
  <si>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</si>
  <si>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</si>
  <si>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</si>
  <si>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</si>
  <si>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</si>
  <si>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</si>
  <si>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</si>
  <si>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</si>
  <si>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</si>
  <si>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</si>
  <si>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</si>
  <si>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</si>
  <si>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</si>
  <si>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</si>
  <si>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</si>
  <si>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</si>
  <si>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</si>
  <si>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</si>
  <si>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</si>
  <si>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</si>
  <si>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</si>
  <si>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</si>
  <si>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</si>
  <si>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</si>
  <si>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</si>
  <si>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</si>
  <si>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</si>
  <si>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</si>
  <si>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</si>
  <si>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</si>
  <si>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</si>
  <si>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</si>
  <si>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</si>
  <si>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</si>
  <si>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</si>
  <si>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</si>
  <si>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</si>
  <si>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</si>
  <si>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</si>
  <si>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</si>
  <si>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</si>
  <si>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</si>
  <si>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</si>
  <si>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</si>
  <si>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</si>
  <si>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</si>
  <si>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</si>
  <si>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</si>
  <si>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</si>
  <si>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</si>
  <si>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</si>
  <si>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</si>
  <si>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</si>
  <si>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</si>
  <si>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</si>
  <si>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</si>
  <si>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</si>
  <si>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</si>
  <si>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</si>
  <si>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</si>
  <si>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</si>
  <si>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</si>
  <si>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</si>
  <si>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</si>
  <si>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</si>
  <si>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</si>
  <si>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</si>
  <si>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</si>
  <si>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</si>
  <si>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</si>
  <si>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</si>
  <si>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</si>
  <si>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</si>
  <si>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</si>
  <si>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</si>
  <si>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</si>
  <si>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</si>
  <si>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</si>
  <si>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</si>
  <si>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</si>
  <si>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</si>
  <si>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</si>
  <si>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</si>
  <si>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</si>
  <si>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</si>
  <si>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</si>
  <si>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</si>
  <si>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</si>
  <si>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</si>
  <si>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</si>
  <si>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</si>
  <si>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</si>
  <si>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</si>
  <si>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</si>
  <si>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</si>
  <si>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</si>
  <si>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</si>
  <si>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</si>
  <si>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</si>
  <si>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</si>
  <si>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</si>
  <si>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</si>
  <si>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</si>
  <si>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</si>
  <si>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</si>
  <si>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</si>
  <si>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</si>
  <si>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</si>
  <si>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</si>
  <si>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</si>
  <si>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</si>
  <si>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</si>
  <si>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</si>
  <si>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</si>
  <si>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</si>
  <si>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</si>
  <si>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</si>
  <si>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</si>
  <si>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</si>
  <si>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</si>
  <si>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</si>
  <si>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</si>
  <si>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</si>
  <si>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</si>
  <si>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</si>
  <si>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</si>
  <si>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</si>
  <si>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</si>
  <si>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</si>
  <si>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</si>
  <si>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</si>
  <si>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</si>
  <si>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</si>
  <si>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</si>
  <si>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</si>
  <si>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</si>
  <si>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</si>
  <si>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</si>
  <si>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</si>
  <si>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</si>
  <si>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</si>
  <si>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</si>
  <si>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</si>
  <si>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</si>
  <si>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</si>
  <si>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</si>
  <si>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</si>
  <si>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</si>
  <si>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</si>
  <si>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</si>
  <si>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</si>
  <si>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</si>
  <si>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</si>
  <si>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</si>
  <si>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</si>
  <si>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</si>
  <si>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</si>
  <si>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</si>
  <si>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</si>
  <si>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</si>
  <si>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</si>
  <si>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</si>
  <si>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</si>
  <si>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</si>
  <si>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</si>
  <si>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</si>
  <si>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</si>
  <si>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</si>
  <si>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</si>
  <si>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</si>
  <si>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</si>
  <si>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</si>
  <si>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</si>
  <si>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</si>
  <si>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</si>
  <si>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</si>
  <si>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</si>
  <si>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</si>
  <si>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</si>
  <si>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</si>
  <si>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</si>
  <si>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</si>
  <si>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</si>
  <si>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</si>
  <si>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</si>
  <si>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</si>
  <si>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</si>
  <si>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</si>
  <si>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</si>
  <si>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</si>
  <si>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</si>
  <si>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</si>
  <si>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</si>
  <si>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</si>
  <si>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</si>
  <si>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</si>
  <si>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</si>
  <si>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</si>
  <si>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</si>
  <si>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</si>
  <si>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</si>
  <si>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</si>
  <si>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</si>
  <si>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</si>
  <si>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</si>
  <si>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</si>
  <si>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</si>
  <si>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</si>
  <si>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</si>
  <si>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</si>
  <si>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</si>
  <si>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</si>
  <si>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</si>
  <si>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</si>
  <si>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</si>
  <si>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</si>
  <si>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</si>
  <si>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</si>
  <si>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</si>
  <si>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</si>
  <si>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</si>
  <si>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</si>
  <si>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</si>
  <si>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</si>
  <si>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</si>
  <si>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</si>
  <si>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</si>
  <si>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</si>
  <si>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</si>
  <si>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</si>
  <si>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</si>
  <si>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</si>
  <si>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</si>
  <si>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</si>
  <si>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</si>
  <si>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</si>
  <si>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</si>
  <si>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</si>
  <si>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</si>
  <si>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</si>
  <si>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</si>
  <si>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</si>
  <si>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</si>
  <si>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</si>
  <si>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</si>
  <si>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</si>
  <si>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</si>
  <si>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</si>
  <si>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</si>
  <si>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</si>
  <si>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</si>
  <si>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</si>
  <si>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</si>
  <si>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</si>
  <si>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</si>
  <si>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</si>
  <si>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</si>
  <si>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</si>
  <si>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</si>
  <si>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</si>
  <si>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</si>
  <si>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</si>
  <si>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</si>
  <si>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</si>
  <si>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</si>
  <si>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</si>
  <si>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</si>
  <si>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</si>
  <si>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</si>
  <si>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</si>
  <si>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</si>
  <si>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</si>
  <si>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</si>
  <si>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</si>
  <si>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</si>
  <si>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</si>
  <si>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</si>
  <si>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</si>
  <si>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</si>
  <si>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</si>
  <si>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</si>
  <si>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</si>
  <si>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</si>
  <si>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</si>
  <si>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</si>
  <si>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</si>
  <si>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</si>
  <si>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</si>
  <si>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</si>
  <si>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</si>
  <si>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</si>
  <si>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</si>
  <si>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</si>
  <si>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</si>
  <si>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</si>
  <si>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</si>
  <si>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</si>
  <si>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</si>
  <si>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</si>
  <si>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</si>
  <si>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</si>
  <si>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</si>
  <si>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</si>
  <si>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</si>
  <si>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</si>
  <si>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</si>
  <si>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</si>
  <si>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</si>
  <si>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</si>
  <si>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</si>
  <si>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</si>
  <si>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</si>
  <si>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</si>
  <si>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</si>
  <si>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</si>
  <si>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</si>
  <si>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</si>
  <si>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</si>
  <si>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</si>
  <si>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</si>
  <si>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</si>
  <si>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</si>
  <si>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</si>
  <si>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</si>
  <si>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</si>
  <si>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</si>
  <si>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</si>
  <si>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</si>
  <si>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</si>
  <si>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</si>
  <si>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</si>
  <si>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</si>
  <si>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</si>
  <si>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</si>
  <si>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</si>
  <si>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</si>
  <si>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</si>
  <si>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</si>
  <si>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</si>
  <si>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</si>
  <si>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</si>
  <si>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</si>
  <si>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</si>
  <si>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</si>
  <si>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</si>
  <si>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</si>
  <si>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</si>
  <si>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</si>
  <si>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</si>
  <si>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</si>
  <si>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</si>
  <si>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</si>
  <si>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</si>
  <si>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</si>
  <si>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</si>
  <si>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</si>
  <si>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</si>
  <si>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</si>
  <si>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</si>
  <si>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</si>
  <si>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</si>
  <si>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</si>
  <si>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</si>
  <si>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</si>
  <si>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</si>
  <si>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</si>
  <si>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</si>
  <si>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</si>
  <si>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</si>
  <si>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</si>
  <si>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</si>
  <si>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</si>
  <si>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</si>
  <si>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</si>
  <si>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</si>
  <si>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</si>
  <si>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</si>
  <si>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</si>
  <si>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</si>
  <si>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</si>
  <si>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</si>
  <si>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</si>
  <si>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</si>
  <si>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</si>
  <si>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</si>
  <si>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</si>
  <si>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</si>
  <si>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</si>
  <si>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</si>
  <si>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</si>
  <si>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</si>
  <si>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</si>
  <si>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</si>
  <si>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</si>
  <si>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</si>
  <si>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</si>
  <si>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</si>
  <si>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</si>
  <si>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</si>
  <si>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</si>
  <si>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</si>
  <si>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</si>
  <si>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</si>
  <si>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</si>
  <si>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</si>
  <si>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</si>
  <si>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</si>
  <si>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</si>
  <si>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</si>
  <si>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</si>
  <si>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</si>
  <si>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</si>
  <si>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</si>
  <si>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</si>
  <si>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</si>
  <si>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</si>
  <si>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</si>
  <si>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</si>
  <si>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</si>
  <si>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</si>
  <si>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</si>
  <si>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</si>
  <si>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</si>
  <si>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</si>
  <si>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</si>
  <si>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</si>
  <si>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</si>
  <si>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</si>
  <si>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</si>
  <si>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</si>
  <si>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</si>
  <si>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</si>
  <si>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</si>
  <si>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</si>
  <si>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</si>
  <si>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</si>
  <si>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</si>
  <si>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</si>
  <si>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</si>
  <si>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</si>
  <si>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</si>
  <si>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</si>
  <si>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</si>
  <si>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</si>
  <si>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</si>
  <si>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</si>
  <si>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</si>
  <si>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</si>
  <si>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</si>
  <si>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</si>
  <si>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</si>
  <si>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</si>
  <si>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</si>
  <si>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</si>
  <si>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</si>
  <si>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</si>
  <si>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</si>
  <si>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</si>
  <si>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</si>
  <si>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</si>
  <si>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</si>
  <si>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</si>
  <si>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</si>
  <si>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</si>
  <si>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</si>
  <si>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</si>
  <si>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</si>
  <si>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</si>
  <si>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</si>
  <si>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</si>
  <si>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</si>
  <si>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</si>
  <si>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</si>
  <si>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</si>
  <si>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</si>
  <si>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</si>
  <si>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</si>
  <si>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</si>
  <si>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</si>
  <si>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</si>
  <si>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</si>
  <si>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</si>
  <si>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</si>
  <si>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</si>
  <si>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</si>
  <si>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</si>
  <si>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</si>
  <si>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</si>
  <si>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</si>
  <si>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</si>
  <si>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</si>
  <si>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</si>
  <si>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</si>
  <si>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</si>
  <si>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</si>
  <si>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</si>
  <si>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</si>
  <si>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</si>
  <si>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</si>
  <si>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</si>
  <si>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</si>
  <si>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</si>
  <si>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</si>
  <si>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</si>
  <si>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</si>
  <si>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</si>
  <si>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</si>
  <si>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</si>
  <si>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</si>
  <si>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</si>
  <si>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</si>
  <si>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</si>
  <si>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</si>
  <si>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</si>
  <si>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</si>
  <si>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</si>
  <si>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</si>
  <si>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</si>
  <si>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</si>
  <si>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</si>
  <si>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</si>
  <si>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</si>
  <si>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</si>
  <si>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</si>
  <si>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</si>
  <si>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</si>
  <si>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</si>
  <si>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</si>
  <si>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</si>
  <si>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</si>
  <si>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</si>
  <si>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</si>
  <si>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</si>
  <si>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</si>
  <si>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</si>
  <si>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</si>
  <si>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</si>
  <si>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</si>
  <si>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</si>
  <si>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</si>
  <si>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</si>
  <si>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</si>
  <si>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</si>
  <si>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</si>
  <si>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</si>
  <si>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</si>
  <si>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</si>
  <si>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</si>
  <si>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</si>
  <si>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</si>
  <si>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</si>
  <si>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</si>
  <si>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</si>
  <si>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</si>
  <si>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</si>
  <si>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</si>
  <si>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</si>
  <si>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</si>
  <si>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</si>
  <si>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</si>
  <si>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</si>
  <si>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</si>
  <si>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</si>
  <si>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</si>
  <si>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</si>
  <si>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</si>
  <si>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</si>
  <si>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</si>
  <si>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</si>
  <si>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</si>
  <si>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</si>
  <si>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</si>
  <si>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</si>
  <si>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</si>
  <si>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</si>
  <si>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</si>
  <si>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</si>
  <si>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</si>
  <si>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</si>
  <si>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</si>
  <si>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</si>
  <si>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</si>
  <si>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</si>
  <si>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</si>
  <si>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</si>
  <si>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</si>
  <si>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</si>
  <si>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</si>
  <si>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</si>
  <si>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</si>
  <si>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</si>
  <si>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</si>
  <si>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</si>
  <si>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</si>
  <si>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</si>
  <si>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</si>
  <si>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</si>
  <si>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</si>
  <si>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</si>
  <si>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</si>
  <si>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</si>
  <si>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</si>
  <si>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</si>
  <si>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</si>
  <si>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</si>
  <si>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</si>
  <si>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</si>
  <si>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</si>
  <si>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</si>
  <si>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</si>
  <si>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</si>
  <si>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</si>
  <si>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</si>
  <si>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</si>
  <si>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</si>
  <si>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</si>
  <si>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</si>
  <si>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</si>
  <si>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</si>
  <si>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</si>
  <si>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</si>
  <si>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</si>
  <si>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</si>
  <si>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</si>
  <si>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</si>
  <si>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</si>
  <si>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</si>
  <si>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</si>
  <si>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</si>
  <si>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</si>
  <si>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</si>
  <si>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</si>
  <si>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</si>
  <si>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</si>
  <si>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</si>
  <si>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</si>
  <si>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</si>
  <si>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</si>
  <si>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</si>
  <si>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</si>
  <si>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</si>
  <si>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</si>
  <si>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</si>
  <si>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</si>
  <si>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</si>
  <si>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</si>
  <si>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</si>
  <si>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</si>
  <si>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</si>
  <si>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</si>
  <si>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</si>
  <si>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</si>
  <si>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</si>
  <si>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</si>
  <si>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</si>
  <si>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</si>
  <si>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</si>
  <si>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</si>
  <si>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</si>
  <si>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</si>
  <si>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</si>
  <si>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</si>
  <si>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</si>
  <si>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</si>
  <si>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</si>
  <si>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</si>
  <si>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</si>
  <si>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</si>
  <si>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</si>
  <si>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</si>
  <si>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</si>
  <si>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</si>
  <si>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</si>
  <si>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</si>
  <si>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</si>
  <si>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</si>
  <si>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</si>
  <si>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</si>
  <si>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</si>
  <si>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</si>
  <si>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</si>
  <si>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</si>
  <si>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</si>
  <si>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</si>
  <si>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</si>
  <si>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</si>
  <si>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</si>
  <si>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</si>
  <si>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</si>
  <si>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</si>
  <si>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</si>
  <si>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</si>
  <si>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</si>
  <si>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</si>
  <si>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</si>
  <si>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</si>
  <si>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</si>
  <si>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</si>
  <si>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</si>
  <si>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</si>
  <si>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</si>
  <si>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</si>
  <si>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</si>
  <si>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</si>
  <si>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</si>
  <si>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</si>
  <si>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</si>
  <si>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</si>
  <si>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</si>
  <si>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</si>
  <si>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</si>
  <si>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</si>
  <si>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</si>
  <si>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</si>
  <si>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</si>
  <si>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</si>
  <si>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</si>
  <si>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</si>
  <si>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</si>
  <si>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</si>
  <si>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</si>
  <si>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</si>
  <si>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</si>
  <si>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</si>
  <si>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</si>
  <si>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</si>
  <si>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</si>
  <si>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</si>
  <si>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</si>
  <si>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</si>
  <si>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</si>
  <si>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</si>
  <si>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</si>
  <si>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</si>
  <si>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</si>
  <si>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</si>
  <si>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</si>
  <si>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</si>
  <si>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</si>
  <si>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</si>
  <si>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</si>
  <si>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</si>
  <si>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</si>
  <si>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</si>
  <si>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</si>
  <si>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</si>
  <si>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</si>
  <si>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</si>
  <si>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</si>
  <si>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</si>
  <si>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</si>
  <si>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</si>
  <si>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</si>
  <si>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</si>
  <si>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</si>
  <si>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</si>
  <si>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</si>
  <si>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</si>
  <si>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</si>
  <si>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</si>
  <si>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</si>
  <si>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</si>
  <si>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</si>
  <si>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</si>
  <si>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</si>
  <si>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</si>
  <si>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</si>
  <si>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</si>
  <si>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</si>
  <si>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</si>
  <si>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</si>
  <si>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</si>
  <si>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</si>
  <si>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</si>
  <si>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</si>
  <si>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</si>
  <si>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</si>
  <si>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</si>
  <si>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</si>
  <si>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</si>
  <si>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</si>
  <si>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</si>
  <si>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</si>
  <si>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</si>
  <si>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</si>
  <si>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</si>
  <si>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</si>
  <si>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</si>
  <si>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</si>
  <si>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</si>
  <si>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</si>
  <si>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</si>
  <si>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</si>
  <si>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</si>
  <si>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</si>
  <si>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</si>
  <si>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</si>
  <si>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</si>
  <si>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</si>
  <si>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</si>
  <si>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</si>
  <si>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</si>
  <si>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</si>
  <si>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</si>
  <si>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</si>
  <si>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</si>
  <si>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</si>
  <si>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</si>
  <si>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</si>
  <si>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</si>
  <si>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</si>
  <si>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</si>
  <si>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</si>
  <si>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</si>
  <si>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</si>
  <si>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</si>
  <si>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</si>
  <si>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</si>
  <si>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</si>
  <si>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</si>
  <si>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</si>
  <si>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</si>
  <si>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</si>
  <si>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</si>
  <si>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</si>
  <si>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</si>
  <si>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</si>
  <si>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</si>
  <si>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</si>
  <si>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</si>
  <si>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</si>
  <si>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</si>
  <si>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</si>
  <si>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</si>
  <si>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</si>
  <si>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</si>
  <si>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</si>
  <si>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</si>
  <si>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</si>
  <si>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</si>
  <si>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</si>
  <si>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</si>
  <si>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</si>
  <si>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</si>
  <si>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</si>
  <si>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</si>
  <si>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</si>
  <si>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</si>
  <si>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</si>
  <si>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</si>
  <si>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</si>
  <si>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</si>
  <si>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</si>
  <si>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</si>
  <si>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</si>
  <si>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</si>
  <si>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</si>
  <si>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</si>
  <si>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</si>
  <si>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</si>
  <si>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</si>
  <si>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</si>
  <si>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</si>
  <si>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</si>
  <si>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</si>
  <si>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</si>
  <si>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</si>
  <si>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</si>
  <si>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</si>
  <si>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</si>
  <si>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</si>
  <si>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</si>
  <si>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</si>
  <si>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</si>
  <si>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</si>
  <si>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</si>
  <si>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</si>
  <si>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</si>
  <si>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</si>
  <si>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Beacon Landing</t>
  </si>
  <si>
    <t>Lara Regus</t>
  </si>
  <si>
    <t>Myra Henderson</t>
  </si>
  <si>
    <t>1200 W. 7th Street, 8th Floor</t>
  </si>
  <si>
    <t>(213) 808-8979</t>
  </si>
  <si>
    <t>(213) 808-8910</t>
  </si>
  <si>
    <t>myra.henderson@lacity.org</t>
  </si>
  <si>
    <t>CDLAC-TCAC Joint Application (submitting concurrently)</t>
  </si>
  <si>
    <t>311-345 N. Beacon Street</t>
  </si>
  <si>
    <t>7449-014-006; 7449-014-007</t>
  </si>
  <si>
    <t>High Segregation &amp; Poverty</t>
  </si>
  <si>
    <t>$500M</t>
  </si>
  <si>
    <t>40%/60%</t>
  </si>
  <si>
    <t>1149 S. Hill Street, Suite 700</t>
  </si>
  <si>
    <t>CA</t>
  </si>
  <si>
    <t>213-225-2812</t>
  </si>
  <si>
    <t>213-225-2709</t>
  </si>
  <si>
    <t>lregus@abodecommunities.org</t>
  </si>
  <si>
    <t>Abode Communities</t>
  </si>
  <si>
    <t>Managing GP</t>
  </si>
  <si>
    <t>Beacon Landing GP, LLC</t>
  </si>
  <si>
    <t>Developer, sole member of General Partner</t>
  </si>
  <si>
    <t xml:space="preserve">Abode Communities </t>
  </si>
  <si>
    <t>1149 S. Hill St, Suite 700</t>
  </si>
  <si>
    <t>Los Angeles, CA 90015</t>
  </si>
  <si>
    <t>Gio Aliano</t>
  </si>
  <si>
    <t>(213) 225-2709</t>
  </si>
  <si>
    <t>galiano@abodecommunities.org</t>
  </si>
  <si>
    <t>Bocarsly Emden Cowan Esmail &amp; Arndt LLP</t>
  </si>
  <si>
    <t>Los Angeles, CA 90071</t>
  </si>
  <si>
    <t>Nicole Deddens</t>
  </si>
  <si>
    <t>TBD</t>
  </si>
  <si>
    <t>ndeddens@bocarsly.com</t>
  </si>
  <si>
    <t>Eugene Cowan</t>
  </si>
  <si>
    <t>(213) 239-8015</t>
  </si>
  <si>
    <t>633 W. 5th Street, 64th Floor</t>
  </si>
  <si>
    <t>(213) 239-8029</t>
  </si>
  <si>
    <t>(213) 559-0765</t>
  </si>
  <si>
    <t>ecowan@bocarsly.com</t>
  </si>
  <si>
    <t>VCA Green</t>
  </si>
  <si>
    <t>1845 W. Orangewood Ave., Ste. 210</t>
  </si>
  <si>
    <t>Orange, CA 92868</t>
  </si>
  <si>
    <t>Burke Boydell</t>
  </si>
  <si>
    <t>714-363-4700</t>
  </si>
  <si>
    <t>Bboydell@vca-green.com</t>
  </si>
  <si>
    <t>(213) 559-0751</t>
  </si>
  <si>
    <t>California Housing Partnership</t>
  </si>
  <si>
    <t>600 Wilshire Blvd., Ste. 890</t>
  </si>
  <si>
    <t>Los Angeles, CA 90017</t>
  </si>
  <si>
    <t>Ben Creed</t>
  </si>
  <si>
    <t>bcreed@chpc.net</t>
  </si>
  <si>
    <t>Raney Planning &amp; Management, Inc.</t>
  </si>
  <si>
    <t>1501 Sports Drive, Suite A</t>
  </si>
  <si>
    <t>Sacramento, CA 95834</t>
  </si>
  <si>
    <t>Stefanie Williams</t>
  </si>
  <si>
    <t>swilliams@laurinassociates.com</t>
  </si>
  <si>
    <t>The Bronstein Company, Inc.</t>
  </si>
  <si>
    <t>5200 Kanan Road, Suite 226</t>
  </si>
  <si>
    <t>Agoura Hills, CA 91301</t>
  </si>
  <si>
    <t>Cary Bronstein</t>
  </si>
  <si>
    <t>Cary@TBCappraisal.com</t>
  </si>
  <si>
    <t>Robert Vergara</t>
  </si>
  <si>
    <t>robert.vergara@lacity.org</t>
  </si>
  <si>
    <t>Holly Benson</t>
  </si>
  <si>
    <t>HBenson@abodecommunities.org</t>
  </si>
  <si>
    <t>Scott T and Monica E Brannen Revocable Trust</t>
  </si>
  <si>
    <t>Scott &amp; Monica Brannen</t>
  </si>
  <si>
    <t>Scott Brannen</t>
  </si>
  <si>
    <t>Monica Brannen</t>
  </si>
  <si>
    <t>345 N. Beacon Street, San Pedro, CA 90731</t>
  </si>
  <si>
    <t>Inner City Infill Site</t>
  </si>
  <si>
    <t>Community Commercial</t>
  </si>
  <si>
    <t>C2-2D-CPIO; 82 units</t>
  </si>
  <si>
    <t>86 feet</t>
  </si>
  <si>
    <t>C2-2D-CPIO; unlimited density via QPSH Ordinance</t>
  </si>
  <si>
    <t>2 for manager (&gt;3 habitable rooms); 1 space per 20 dwelling units</t>
  </si>
  <si>
    <t>Affordability covenant will be recorded at construction close</t>
  </si>
  <si>
    <t>HCIDLA - HHH</t>
  </si>
  <si>
    <t>LACDA - No Place Like Home</t>
  </si>
  <si>
    <t>HACLA - Project-Based Vouchers</t>
  </si>
  <si>
    <t xml:space="preserve">Citi - Tax-Exempt Construction Loan </t>
  </si>
  <si>
    <t>Fixed</t>
  </si>
  <si>
    <t xml:space="preserve">Citi - Taxable Construction Loan </t>
  </si>
  <si>
    <t>Costs Deferred Until Conversion</t>
  </si>
  <si>
    <t>Limited Partner Capital Contribution</t>
  </si>
  <si>
    <t>Accrued deferred interest - HHH</t>
  </si>
  <si>
    <t>Citi - Tax-Exempt Permanent Loan</t>
  </si>
  <si>
    <t>Accrued Deferred Interest - HHH</t>
  </si>
  <si>
    <t>General Partner (Developer Fee)</t>
  </si>
  <si>
    <t>300 South Grand Avenue, Suite 3110</t>
  </si>
  <si>
    <t>Sonia Rahm</t>
  </si>
  <si>
    <t>213-239-1726</t>
  </si>
  <si>
    <t>Permanent</t>
  </si>
  <si>
    <t>Variable</t>
  </si>
  <si>
    <t>30-day LIBOR</t>
  </si>
  <si>
    <t>Construction loan - tax-exempt</t>
  </si>
  <si>
    <t>Construction loan - taxable</t>
  </si>
  <si>
    <t>1200 W. 7th Street</t>
  </si>
  <si>
    <t>Timothy Elliott</t>
  </si>
  <si>
    <t>Interest accrued during construction</t>
  </si>
  <si>
    <t>Residual receipts loan</t>
  </si>
  <si>
    <t>700 W. Main Street</t>
  </si>
  <si>
    <t>Alhambra, CA 91801</t>
  </si>
  <si>
    <t>Matt Lust</t>
  </si>
  <si>
    <t>Sponsor/developer</t>
  </si>
  <si>
    <t>Dev fee contributed as GP Equity</t>
  </si>
  <si>
    <t>Air conditioning</t>
  </si>
  <si>
    <t>Housing Authority of the City of Los Angeles (HACLA)</t>
  </si>
  <si>
    <t>Communication, office expenses</t>
  </si>
  <si>
    <t>Payroll Taxes/Benefits</t>
  </si>
  <si>
    <t>Misc. maintenance/turnover costs</t>
  </si>
  <si>
    <t>Misc. Tax/License</t>
  </si>
  <si>
    <t>HCIDLA SCEP Fees</t>
  </si>
  <si>
    <t>City of LA Prop HHH + accrued const. interest</t>
  </si>
  <si>
    <t>No Place Like Home (via LACDA)</t>
  </si>
  <si>
    <t>HACLA</t>
  </si>
  <si>
    <t>Project-based vouchers (PBVs)</t>
  </si>
  <si>
    <t>20 years</t>
  </si>
  <si>
    <t>Prevailing Wage Monitoring; Utility Connections</t>
  </si>
  <si>
    <t>Sponsor Legal</t>
  </si>
  <si>
    <t>Subsidy Transition Reserve</t>
  </si>
  <si>
    <t>Benefits</t>
  </si>
  <si>
    <t>Supplies/equipment/transportation/food/training</t>
  </si>
  <si>
    <t>Administrative costs</t>
  </si>
  <si>
    <t>In Kind</t>
  </si>
  <si>
    <t>ICMS contract with LA County DHS</t>
  </si>
  <si>
    <t>ICMS contract with LA County DHS, project budget</t>
  </si>
  <si>
    <t>LA Family Housing</t>
  </si>
  <si>
    <t>Partnership Split</t>
  </si>
  <si>
    <t>Soft Lenders (HCID/LACDA) Split</t>
  </si>
  <si>
    <t>Annual Issuer Fee</t>
  </si>
  <si>
    <t>Trustee Fee</t>
  </si>
  <si>
    <t>Senior Vice President, Development</t>
  </si>
  <si>
    <t>3rd Party Const Mgmt, Inspections/Testing</t>
  </si>
  <si>
    <t>Construction Lender Expenses</t>
  </si>
  <si>
    <t>Perm Lender Expenses</t>
  </si>
  <si>
    <t>Predevelopment Loan Interest</t>
  </si>
  <si>
    <t>Above residual receipts line for cash flow</t>
  </si>
  <si>
    <t>, 2021 at</t>
  </si>
  <si>
    <t>May</t>
  </si>
  <si>
    <t>Provided</t>
  </si>
  <si>
    <t>Not Applicable</t>
  </si>
  <si>
    <t>17th</t>
  </si>
  <si>
    <t>100% SD</t>
  </si>
  <si>
    <t>44 of those 88 units will be set aside for persons with physical, mental, developmental disabilities;</t>
  </si>
  <si>
    <t>14 of the 88 units will have mobility features; and 9 of the 88 units will have communications features.</t>
  </si>
  <si>
    <t>Participant needs/food</t>
  </si>
  <si>
    <t>Operation</t>
  </si>
  <si>
    <t>Project operating budget</t>
  </si>
  <si>
    <t xml:space="preserve">All 88 non-manager units will be reserved for homeless/formerly homeless populations;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</si>
</sst>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80" fontId="16" fillId="5" borderId="14" xfId="570" applyNumberFormat="1" applyFont="1" applyFill="1" applyBorder="1" applyProtection="1">
      <protection locked="0"/>
    </xf>
    <xf numFmtId="2" fontId="16" fillId="5" borderId="14" xfId="570" applyNumberFormat="1" applyFont="1" applyFill="1" applyBorder="1" applyProtection="1">
      <protection locked="0"/>
    </xf>
    <xf numFmtId="0" fontId="11" fillId="5" borderId="3"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16" fillId="5" borderId="0" xfId="570"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1" fillId="5" borderId="6" xfId="0" applyFon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168" fontId="11" fillId="5" borderId="106" xfId="570" applyNumberForma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20" fillId="5" borderId="6" xfId="0" applyFont="1" applyFill="1" applyBorder="1" applyAlignment="1" applyProtection="1">
      <alignment horizontal="left"/>
      <protection locked="0"/>
    </xf>
    <xf numFmtId="166" fontId="11" fillId="5" borderId="106" xfId="0" applyNumberFormat="1" applyFont="1" applyFill="1" applyBorder="1" applyAlignment="1" applyProtection="1">
      <alignment horizontal="left"/>
      <protection locked="0"/>
    </xf>
    <xf numFmtId="0" fontId="0" fillId="5" borderId="106" xfId="0" applyFill="1" applyBorder="1" applyAlignment="1" applyProtection="1">
      <alignment horizontal="left"/>
      <protection locked="0"/>
    </xf>
    <xf numFmtId="166" fontId="11" fillId="54"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106" xfId="0"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0" borderId="6" xfId="0" applyFont="1" applyBorder="1" applyAlignment="1" applyProtection="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7147">
    <cellStyle name="20% - Accent1" xfId="1" builtinId="30" customBuiltin="1"/>
    <cellStyle name="20% - Accent1 10" xfId="4507" xr:uid="{00000000-0005-0000-0000-000001000000}"/>
    <cellStyle name="20% - Accent1 10 2" xfId="12936" xr:uid="{8E78110E-123C-4018-8DDC-AB42389C71C3}"/>
    <cellStyle name="20% - Accent1 11" xfId="8718" xr:uid="{DAD4D78E-481C-48B3-AB19-C34C7F245BA9}"/>
    <cellStyle name="20% - Accent1 2" xfId="2" xr:uid="{00000000-0005-0000-0000-000002000000}"/>
    <cellStyle name="20% - Accent1 2 10" xfId="8719" xr:uid="{C8AF687F-E84C-466E-90B2-445A5260FB12}"/>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2 2" xfId="15498" xr:uid="{E8C598EA-853B-45F4-B763-98A7F0FDC510}"/>
    <cellStyle name="20% - Accent1 2 2 2 2 2 3" xfId="11280" xr:uid="{BE44DA31-5DEF-461D-9D58-1889CE0311C8}"/>
    <cellStyle name="20% - Accent1 2 2 2 2 3" xfId="4924" xr:uid="{00000000-0005-0000-0000-000008000000}"/>
    <cellStyle name="20% - Accent1 2 2 2 2 3 2" xfId="13353" xr:uid="{EC2AE266-953A-4B6D-87E8-81ED52D00BCD}"/>
    <cellStyle name="20% - Accent1 2 2 2 2 4" xfId="9135" xr:uid="{12CE2C42-BC3D-43CE-AEA7-DE37414D3B9D}"/>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2 2" xfId="15911" xr:uid="{48C340A2-61AC-4620-907C-DF7188B4CEF0}"/>
    <cellStyle name="20% - Accent1 2 2 2 3 2 3" xfId="11693" xr:uid="{9992F84D-280E-4A1B-81B6-41564FC56CFD}"/>
    <cellStyle name="20% - Accent1 2 2 2 3 3" xfId="5337" xr:uid="{00000000-0005-0000-0000-00000C000000}"/>
    <cellStyle name="20% - Accent1 2 2 2 3 3 2" xfId="13766" xr:uid="{34F701AB-C0E6-4D0C-B785-999BF8872B57}"/>
    <cellStyle name="20% - Accent1 2 2 2 3 4" xfId="9548" xr:uid="{0FCE57CE-EF2A-47E0-A033-B0025AFD62EB}"/>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2 2" xfId="16324" xr:uid="{A013CBB2-178C-4FA2-AAA4-760ED6AB38B7}"/>
    <cellStyle name="20% - Accent1 2 2 2 4 2 3" xfId="12106" xr:uid="{1034958C-535B-4432-B54F-433E0F9931AF}"/>
    <cellStyle name="20% - Accent1 2 2 2 4 3" xfId="5750" xr:uid="{00000000-0005-0000-0000-000010000000}"/>
    <cellStyle name="20% - Accent1 2 2 2 4 3 2" xfId="14179" xr:uid="{51625B5A-280E-4DF0-9B57-3ABC897483FE}"/>
    <cellStyle name="20% - Accent1 2 2 2 4 4" xfId="9961" xr:uid="{2780493B-886A-41F1-AE93-174065AFC60A}"/>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2 2" xfId="16737" xr:uid="{C090F82B-49EF-487F-99EE-E80707FA67F5}"/>
    <cellStyle name="20% - Accent1 2 2 2 5 2 3" xfId="12519" xr:uid="{5B064172-8FDF-4E91-B03F-F4126DD305B7}"/>
    <cellStyle name="20% - Accent1 2 2 2 5 3" xfId="6163" xr:uid="{00000000-0005-0000-0000-000014000000}"/>
    <cellStyle name="20% - Accent1 2 2 2 5 3 2" xfId="14592" xr:uid="{6F80E5AD-DCE2-4CB8-9627-B7564880B612}"/>
    <cellStyle name="20% - Accent1 2 2 2 5 4" xfId="10374" xr:uid="{EEEDB743-376B-40FD-822C-A236FDC988F3}"/>
    <cellStyle name="20% - Accent1 2 2 2 6" xfId="2268" xr:uid="{00000000-0005-0000-0000-000015000000}"/>
    <cellStyle name="20% - Accent1 2 2 2 6 2" xfId="6576" xr:uid="{00000000-0005-0000-0000-000016000000}"/>
    <cellStyle name="20% - Accent1 2 2 2 6 2 2" xfId="15005" xr:uid="{CD1263CB-AEB1-4EB7-81F6-80EA317A6D96}"/>
    <cellStyle name="20% - Accent1 2 2 2 6 3" xfId="10787" xr:uid="{5D883499-05FA-4960-A685-AB615D63A8C5}"/>
    <cellStyle name="20% - Accent1 2 2 2 7" xfId="4510" xr:uid="{00000000-0005-0000-0000-000017000000}"/>
    <cellStyle name="20% - Accent1 2 2 2 7 2" xfId="12939" xr:uid="{CE3611D7-A272-498C-B5BD-F1704F0CDD82}"/>
    <cellStyle name="20% - Accent1 2 2 2 8" xfId="8721" xr:uid="{BE619A77-BD88-47F5-8E1E-4DC416B9E161}"/>
    <cellStyle name="20% - Accent1 2 2 3" xfId="573" xr:uid="{00000000-0005-0000-0000-000018000000}"/>
    <cellStyle name="20% - Accent1 2 2 3 2" xfId="2844" xr:uid="{00000000-0005-0000-0000-000019000000}"/>
    <cellStyle name="20% - Accent1 2 2 3 2 2" xfId="7068" xr:uid="{00000000-0005-0000-0000-00001A000000}"/>
    <cellStyle name="20% - Accent1 2 2 3 2 2 2" xfId="15497" xr:uid="{1CA25962-0819-4871-A4BD-2A1AD53A057D}"/>
    <cellStyle name="20% - Accent1 2 2 3 2 3" xfId="11279" xr:uid="{6553D15A-0A3A-48AF-BBEB-08B0FBD8A3B2}"/>
    <cellStyle name="20% - Accent1 2 2 3 3" xfId="4923" xr:uid="{00000000-0005-0000-0000-00001B000000}"/>
    <cellStyle name="20% - Accent1 2 2 3 3 2" xfId="13352" xr:uid="{43F73FE9-FE14-4BE3-A738-1778E8E5EABE}"/>
    <cellStyle name="20% - Accent1 2 2 3 4" xfId="9134" xr:uid="{08547B57-24D8-41C2-903D-C1EFB67AF147}"/>
    <cellStyle name="20% - Accent1 2 2 4" xfId="1026" xr:uid="{00000000-0005-0000-0000-00001C000000}"/>
    <cellStyle name="20% - Accent1 2 2 4 2" xfId="3257" xr:uid="{00000000-0005-0000-0000-00001D000000}"/>
    <cellStyle name="20% - Accent1 2 2 4 2 2" xfId="7481" xr:uid="{00000000-0005-0000-0000-00001E000000}"/>
    <cellStyle name="20% - Accent1 2 2 4 2 2 2" xfId="15910" xr:uid="{2F1473B7-53BE-4986-96DD-ACFF3B1F3DC6}"/>
    <cellStyle name="20% - Accent1 2 2 4 2 3" xfId="11692" xr:uid="{823DAF9B-7B55-4B86-8C59-E53A2030007F}"/>
    <cellStyle name="20% - Accent1 2 2 4 3" xfId="5336" xr:uid="{00000000-0005-0000-0000-00001F000000}"/>
    <cellStyle name="20% - Accent1 2 2 4 3 2" xfId="13765" xr:uid="{137A0683-EEC4-4281-90A6-D9710DD212FA}"/>
    <cellStyle name="20% - Accent1 2 2 4 4" xfId="9547" xr:uid="{BD0B43CC-DFA4-461E-9062-5993847B743C}"/>
    <cellStyle name="20% - Accent1 2 2 5" xfId="1440" xr:uid="{00000000-0005-0000-0000-000020000000}"/>
    <cellStyle name="20% - Accent1 2 2 5 2" xfId="3670" xr:uid="{00000000-0005-0000-0000-000021000000}"/>
    <cellStyle name="20% - Accent1 2 2 5 2 2" xfId="7894" xr:uid="{00000000-0005-0000-0000-000022000000}"/>
    <cellStyle name="20% - Accent1 2 2 5 2 2 2" xfId="16323" xr:uid="{A12AB45E-5A6B-465A-8CCF-D645E3E7DF80}"/>
    <cellStyle name="20% - Accent1 2 2 5 2 3" xfId="12105" xr:uid="{A70E99A1-DA13-4E01-91C9-01ECB00EE134}"/>
    <cellStyle name="20% - Accent1 2 2 5 3" xfId="5749" xr:uid="{00000000-0005-0000-0000-000023000000}"/>
    <cellStyle name="20% - Accent1 2 2 5 3 2" xfId="14178" xr:uid="{8A48F089-C083-4E15-BA5B-0CFEA7FCA9B1}"/>
    <cellStyle name="20% - Accent1 2 2 5 4" xfId="9960" xr:uid="{542F2DB5-B29C-420F-87F8-2836F560BF2F}"/>
    <cellStyle name="20% - Accent1 2 2 6" xfId="1854" xr:uid="{00000000-0005-0000-0000-000024000000}"/>
    <cellStyle name="20% - Accent1 2 2 6 2" xfId="4083" xr:uid="{00000000-0005-0000-0000-000025000000}"/>
    <cellStyle name="20% - Accent1 2 2 6 2 2" xfId="8307" xr:uid="{00000000-0005-0000-0000-000026000000}"/>
    <cellStyle name="20% - Accent1 2 2 6 2 2 2" xfId="16736" xr:uid="{9B563CA9-FA31-4211-B261-0575AA661686}"/>
    <cellStyle name="20% - Accent1 2 2 6 2 3" xfId="12518" xr:uid="{26297DE6-2733-469F-84A2-FCE540B180DC}"/>
    <cellStyle name="20% - Accent1 2 2 6 3" xfId="6162" xr:uid="{00000000-0005-0000-0000-000027000000}"/>
    <cellStyle name="20% - Accent1 2 2 6 3 2" xfId="14591" xr:uid="{74DD93ED-49BA-46AF-8242-C8BABC7452B2}"/>
    <cellStyle name="20% - Accent1 2 2 6 4" xfId="10373" xr:uid="{D82E3F44-3F3F-4622-9DD8-511B72F859AF}"/>
    <cellStyle name="20% - Accent1 2 2 7" xfId="2267" xr:uid="{00000000-0005-0000-0000-000028000000}"/>
    <cellStyle name="20% - Accent1 2 2 7 2" xfId="6575" xr:uid="{00000000-0005-0000-0000-000029000000}"/>
    <cellStyle name="20% - Accent1 2 2 7 2 2" xfId="15004" xr:uid="{340B7033-28FB-4E12-8680-7A98EFF862E0}"/>
    <cellStyle name="20% - Accent1 2 2 7 3" xfId="10786" xr:uid="{F0BA3915-FC85-405B-8FEB-31C8B86B5A25}"/>
    <cellStyle name="20% - Accent1 2 2 8" xfId="4509" xr:uid="{00000000-0005-0000-0000-00002A000000}"/>
    <cellStyle name="20% - Accent1 2 2 8 2" xfId="12938" xr:uid="{94A85F62-7EB9-4CDE-9D23-FDF6C772D1FD}"/>
    <cellStyle name="20% - Accent1 2 2 9" xfId="8720" xr:uid="{F427F02C-9DFF-49BF-80DA-6BB1231F2037}"/>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2 2" xfId="15499" xr:uid="{28DE691C-FFCC-4B88-9F3F-5505249BDAC8}"/>
    <cellStyle name="20% - Accent1 2 3 2 2 3" xfId="11281" xr:uid="{B473EEDD-BE98-4ED2-A066-7E0D3D54CA0B}"/>
    <cellStyle name="20% - Accent1 2 3 2 3" xfId="4925" xr:uid="{00000000-0005-0000-0000-00002F000000}"/>
    <cellStyle name="20% - Accent1 2 3 2 3 2" xfId="13354" xr:uid="{379001F3-A8EB-4731-83FE-64A448AA6DC4}"/>
    <cellStyle name="20% - Accent1 2 3 2 4" xfId="9136" xr:uid="{04F0DA6E-772B-4F6B-B33A-ED10301DDB6D}"/>
    <cellStyle name="20% - Accent1 2 3 3" xfId="1028" xr:uid="{00000000-0005-0000-0000-000030000000}"/>
    <cellStyle name="20% - Accent1 2 3 3 2" xfId="3259" xr:uid="{00000000-0005-0000-0000-000031000000}"/>
    <cellStyle name="20% - Accent1 2 3 3 2 2" xfId="7483" xr:uid="{00000000-0005-0000-0000-000032000000}"/>
    <cellStyle name="20% - Accent1 2 3 3 2 2 2" xfId="15912" xr:uid="{7DA9625E-91C8-4EBD-A03E-AD84C1E8D4CD}"/>
    <cellStyle name="20% - Accent1 2 3 3 2 3" xfId="11694" xr:uid="{0E58697B-CB12-400E-BB80-20250603A760}"/>
    <cellStyle name="20% - Accent1 2 3 3 3" xfId="5338" xr:uid="{00000000-0005-0000-0000-000033000000}"/>
    <cellStyle name="20% - Accent1 2 3 3 3 2" xfId="13767" xr:uid="{31F43C57-D937-4531-8A8A-A9DBA6E8EEDE}"/>
    <cellStyle name="20% - Accent1 2 3 3 4" xfId="9549" xr:uid="{7AAAEB2F-C0ED-48C7-865E-782BCF24152E}"/>
    <cellStyle name="20% - Accent1 2 3 4" xfId="1442" xr:uid="{00000000-0005-0000-0000-000034000000}"/>
    <cellStyle name="20% - Accent1 2 3 4 2" xfId="3672" xr:uid="{00000000-0005-0000-0000-000035000000}"/>
    <cellStyle name="20% - Accent1 2 3 4 2 2" xfId="7896" xr:uid="{00000000-0005-0000-0000-000036000000}"/>
    <cellStyle name="20% - Accent1 2 3 4 2 2 2" xfId="16325" xr:uid="{7B1FC8C0-4E30-40FD-855A-810B5768C075}"/>
    <cellStyle name="20% - Accent1 2 3 4 2 3" xfId="12107" xr:uid="{A0FA7BFF-0B4B-44DE-8934-45C32FDAB7BE}"/>
    <cellStyle name="20% - Accent1 2 3 4 3" xfId="5751" xr:uid="{00000000-0005-0000-0000-000037000000}"/>
    <cellStyle name="20% - Accent1 2 3 4 3 2" xfId="14180" xr:uid="{7CE96905-7CB9-4F6A-A880-7A312AF61821}"/>
    <cellStyle name="20% - Accent1 2 3 4 4" xfId="9962" xr:uid="{D3B91DF5-EADB-4131-8807-69F70C9C0387}"/>
    <cellStyle name="20% - Accent1 2 3 5" xfId="1856" xr:uid="{00000000-0005-0000-0000-000038000000}"/>
    <cellStyle name="20% - Accent1 2 3 5 2" xfId="4085" xr:uid="{00000000-0005-0000-0000-000039000000}"/>
    <cellStyle name="20% - Accent1 2 3 5 2 2" xfId="8309" xr:uid="{00000000-0005-0000-0000-00003A000000}"/>
    <cellStyle name="20% - Accent1 2 3 5 2 2 2" xfId="16738" xr:uid="{E3B33311-8651-4290-B536-671A938FF834}"/>
    <cellStyle name="20% - Accent1 2 3 5 2 3" xfId="12520" xr:uid="{8882C25F-D1E0-48E8-91F9-02B6B1C84C0B}"/>
    <cellStyle name="20% - Accent1 2 3 5 3" xfId="6164" xr:uid="{00000000-0005-0000-0000-00003B000000}"/>
    <cellStyle name="20% - Accent1 2 3 5 3 2" xfId="14593" xr:uid="{4383131E-43BE-40C7-B92C-61309D3E2715}"/>
    <cellStyle name="20% - Accent1 2 3 5 4" xfId="10375" xr:uid="{B464CAE7-8F18-41DE-93A2-A13AD89E1BEC}"/>
    <cellStyle name="20% - Accent1 2 3 6" xfId="2269" xr:uid="{00000000-0005-0000-0000-00003C000000}"/>
    <cellStyle name="20% - Accent1 2 3 6 2" xfId="6577" xr:uid="{00000000-0005-0000-0000-00003D000000}"/>
    <cellStyle name="20% - Accent1 2 3 6 2 2" xfId="15006" xr:uid="{FDB20578-9C0F-4960-B64D-69DBB7815DDC}"/>
    <cellStyle name="20% - Accent1 2 3 6 3" xfId="10788" xr:uid="{0F86C78D-BA23-433A-8578-D71CCB5B4F65}"/>
    <cellStyle name="20% - Accent1 2 3 7" xfId="4511" xr:uid="{00000000-0005-0000-0000-00003E000000}"/>
    <cellStyle name="20% - Accent1 2 3 7 2" xfId="12940" xr:uid="{1ECC9A91-7A85-443B-9AC1-002AF2A304A2}"/>
    <cellStyle name="20% - Accent1 2 3 8" xfId="8722" xr:uid="{91B300C8-C292-4ED3-94E9-BE6A0FC15A18}"/>
    <cellStyle name="20% - Accent1 2 4" xfId="572" xr:uid="{00000000-0005-0000-0000-00003F000000}"/>
    <cellStyle name="20% - Accent1 2 4 2" xfId="2843" xr:uid="{00000000-0005-0000-0000-000040000000}"/>
    <cellStyle name="20% - Accent1 2 4 2 2" xfId="7067" xr:uid="{00000000-0005-0000-0000-000041000000}"/>
    <cellStyle name="20% - Accent1 2 4 2 2 2" xfId="15496" xr:uid="{6273D75B-711E-445F-9AF0-9D618150AABD}"/>
    <cellStyle name="20% - Accent1 2 4 2 3" xfId="11278" xr:uid="{17A42AB8-F8B1-4EBE-B53F-9B95E38932AF}"/>
    <cellStyle name="20% - Accent1 2 4 3" xfId="4922" xr:uid="{00000000-0005-0000-0000-000042000000}"/>
    <cellStyle name="20% - Accent1 2 4 3 2" xfId="13351" xr:uid="{D5FADC76-7CDB-406B-9291-1426252EE829}"/>
    <cellStyle name="20% - Accent1 2 4 4" xfId="9133" xr:uid="{AA46D9E8-6F39-4B16-86EA-E0125F555184}"/>
    <cellStyle name="20% - Accent1 2 5" xfId="1025" xr:uid="{00000000-0005-0000-0000-000043000000}"/>
    <cellStyle name="20% - Accent1 2 5 2" xfId="3256" xr:uid="{00000000-0005-0000-0000-000044000000}"/>
    <cellStyle name="20% - Accent1 2 5 2 2" xfId="7480" xr:uid="{00000000-0005-0000-0000-000045000000}"/>
    <cellStyle name="20% - Accent1 2 5 2 2 2" xfId="15909" xr:uid="{A9011C23-9C78-4774-9E83-463946651866}"/>
    <cellStyle name="20% - Accent1 2 5 2 3" xfId="11691" xr:uid="{BA5BAAEA-1AC2-4CB8-ABCC-5B741C89F7CB}"/>
    <cellStyle name="20% - Accent1 2 5 3" xfId="5335" xr:uid="{00000000-0005-0000-0000-000046000000}"/>
    <cellStyle name="20% - Accent1 2 5 3 2" xfId="13764" xr:uid="{864C1B76-9D6D-4BA6-B467-26535B98DEC2}"/>
    <cellStyle name="20% - Accent1 2 5 4" xfId="9546" xr:uid="{3E384B69-7A26-4426-A102-92EDDADE5047}"/>
    <cellStyle name="20% - Accent1 2 6" xfId="1439" xr:uid="{00000000-0005-0000-0000-000047000000}"/>
    <cellStyle name="20% - Accent1 2 6 2" xfId="3669" xr:uid="{00000000-0005-0000-0000-000048000000}"/>
    <cellStyle name="20% - Accent1 2 6 2 2" xfId="7893" xr:uid="{00000000-0005-0000-0000-000049000000}"/>
    <cellStyle name="20% - Accent1 2 6 2 2 2" xfId="16322" xr:uid="{54DB4068-225C-4767-840B-8BAC38F0BF4A}"/>
    <cellStyle name="20% - Accent1 2 6 2 3" xfId="12104" xr:uid="{D9A3AC1D-2C97-4996-B9F0-529280FFC137}"/>
    <cellStyle name="20% - Accent1 2 6 3" xfId="5748" xr:uid="{00000000-0005-0000-0000-00004A000000}"/>
    <cellStyle name="20% - Accent1 2 6 3 2" xfId="14177" xr:uid="{DD985294-1453-45FA-AFE3-5F0A008E3078}"/>
    <cellStyle name="20% - Accent1 2 6 4" xfId="9959" xr:uid="{367F4FB2-0EFE-44FA-8293-CEB1B52A1CF9}"/>
    <cellStyle name="20% - Accent1 2 7" xfId="1853" xr:uid="{00000000-0005-0000-0000-00004B000000}"/>
    <cellStyle name="20% - Accent1 2 7 2" xfId="4082" xr:uid="{00000000-0005-0000-0000-00004C000000}"/>
    <cellStyle name="20% - Accent1 2 7 2 2" xfId="8306" xr:uid="{00000000-0005-0000-0000-00004D000000}"/>
    <cellStyle name="20% - Accent1 2 7 2 2 2" xfId="16735" xr:uid="{83F2B6EB-0DD9-4270-958A-B5C8EA49F138}"/>
    <cellStyle name="20% - Accent1 2 7 2 3" xfId="12517" xr:uid="{50DEC375-CCBE-4E11-BFD0-FAA8DD88D53A}"/>
    <cellStyle name="20% - Accent1 2 7 3" xfId="6161" xr:uid="{00000000-0005-0000-0000-00004E000000}"/>
    <cellStyle name="20% - Accent1 2 7 3 2" xfId="14590" xr:uid="{12FF8220-955F-4865-AFBE-B9E1DB2AD955}"/>
    <cellStyle name="20% - Accent1 2 7 4" xfId="10372" xr:uid="{7A5E9666-84E4-4CC0-BC58-75A744425B6A}"/>
    <cellStyle name="20% - Accent1 2 8" xfId="2266" xr:uid="{00000000-0005-0000-0000-00004F000000}"/>
    <cellStyle name="20% - Accent1 2 8 2" xfId="6574" xr:uid="{00000000-0005-0000-0000-000050000000}"/>
    <cellStyle name="20% - Accent1 2 8 2 2" xfId="15003" xr:uid="{47ED7F9F-023F-43CA-8C85-6E21BD178FD6}"/>
    <cellStyle name="20% - Accent1 2 8 3" xfId="10785" xr:uid="{B3522D49-E224-411B-BA84-7EF79F34A693}"/>
    <cellStyle name="20% - Accent1 2 9" xfId="4508" xr:uid="{00000000-0005-0000-0000-000051000000}"/>
    <cellStyle name="20% - Accent1 2 9 2" xfId="12937" xr:uid="{18AA71DC-CF56-4704-81A4-AE18006D04E8}"/>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2 2" xfId="15501" xr:uid="{7DAE250B-B3DC-4962-8D56-C825C4411F2A}"/>
    <cellStyle name="20% - Accent1 3 2 2 2 3" xfId="11283" xr:uid="{22BE80B8-C661-43D4-B4BD-FBE0B9B08DB3}"/>
    <cellStyle name="20% - Accent1 3 2 2 3" xfId="4927" xr:uid="{00000000-0005-0000-0000-000057000000}"/>
    <cellStyle name="20% - Accent1 3 2 2 3 2" xfId="13356" xr:uid="{B7796E00-4DA4-4A2F-A911-5452CD7C2782}"/>
    <cellStyle name="20% - Accent1 3 2 2 4" xfId="9138" xr:uid="{7C3B739B-D2C6-49EB-9AD0-A5601F7E19D4}"/>
    <cellStyle name="20% - Accent1 3 2 3" xfId="1030" xr:uid="{00000000-0005-0000-0000-000058000000}"/>
    <cellStyle name="20% - Accent1 3 2 3 2" xfId="3261" xr:uid="{00000000-0005-0000-0000-000059000000}"/>
    <cellStyle name="20% - Accent1 3 2 3 2 2" xfId="7485" xr:uid="{00000000-0005-0000-0000-00005A000000}"/>
    <cellStyle name="20% - Accent1 3 2 3 2 2 2" xfId="15914" xr:uid="{EFFD310B-6A03-4E37-8431-D224F87AF45A}"/>
    <cellStyle name="20% - Accent1 3 2 3 2 3" xfId="11696" xr:uid="{271BB893-6A84-4AEA-A072-B8057A05D1FC}"/>
    <cellStyle name="20% - Accent1 3 2 3 3" xfId="5340" xr:uid="{00000000-0005-0000-0000-00005B000000}"/>
    <cellStyle name="20% - Accent1 3 2 3 3 2" xfId="13769" xr:uid="{599DCA96-B03D-40FF-9D17-27D0E96234F1}"/>
    <cellStyle name="20% - Accent1 3 2 3 4" xfId="9551" xr:uid="{40E47214-2136-40F3-90E6-FC9F990144AF}"/>
    <cellStyle name="20% - Accent1 3 2 4" xfId="1444" xr:uid="{00000000-0005-0000-0000-00005C000000}"/>
    <cellStyle name="20% - Accent1 3 2 4 2" xfId="3674" xr:uid="{00000000-0005-0000-0000-00005D000000}"/>
    <cellStyle name="20% - Accent1 3 2 4 2 2" xfId="7898" xr:uid="{00000000-0005-0000-0000-00005E000000}"/>
    <cellStyle name="20% - Accent1 3 2 4 2 2 2" xfId="16327" xr:uid="{9C4AD3AF-ED03-4E9E-AF4C-AD8EACEB67DC}"/>
    <cellStyle name="20% - Accent1 3 2 4 2 3" xfId="12109" xr:uid="{CA082133-B997-434F-A47B-B540C2087BF0}"/>
    <cellStyle name="20% - Accent1 3 2 4 3" xfId="5753" xr:uid="{00000000-0005-0000-0000-00005F000000}"/>
    <cellStyle name="20% - Accent1 3 2 4 3 2" xfId="14182" xr:uid="{84583F43-308D-4EB8-8C43-AB61DB677360}"/>
    <cellStyle name="20% - Accent1 3 2 4 4" xfId="9964" xr:uid="{6259BDE1-A850-42AE-8896-B9B763251DBD}"/>
    <cellStyle name="20% - Accent1 3 2 5" xfId="1858" xr:uid="{00000000-0005-0000-0000-000060000000}"/>
    <cellStyle name="20% - Accent1 3 2 5 2" xfId="4087" xr:uid="{00000000-0005-0000-0000-000061000000}"/>
    <cellStyle name="20% - Accent1 3 2 5 2 2" xfId="8311" xr:uid="{00000000-0005-0000-0000-000062000000}"/>
    <cellStyle name="20% - Accent1 3 2 5 2 2 2" xfId="16740" xr:uid="{D53776A9-213B-4E90-B3AF-9E3B1FDCE3DE}"/>
    <cellStyle name="20% - Accent1 3 2 5 2 3" xfId="12522" xr:uid="{8593023D-8A61-4558-AD43-06060B1BA371}"/>
    <cellStyle name="20% - Accent1 3 2 5 3" xfId="6166" xr:uid="{00000000-0005-0000-0000-000063000000}"/>
    <cellStyle name="20% - Accent1 3 2 5 3 2" xfId="14595" xr:uid="{801C335F-A528-46F4-B845-CF9FF86B8EDC}"/>
    <cellStyle name="20% - Accent1 3 2 5 4" xfId="10377" xr:uid="{B6EC8D53-C61B-47D6-9BF6-00E1F16AE135}"/>
    <cellStyle name="20% - Accent1 3 2 6" xfId="2271" xr:uid="{00000000-0005-0000-0000-000064000000}"/>
    <cellStyle name="20% - Accent1 3 2 6 2" xfId="6579" xr:uid="{00000000-0005-0000-0000-000065000000}"/>
    <cellStyle name="20% - Accent1 3 2 6 2 2" xfId="15008" xr:uid="{4AA363B5-F7CE-4F09-B146-01A1E299D4F5}"/>
    <cellStyle name="20% - Accent1 3 2 6 3" xfId="10790" xr:uid="{0138A0BA-DE95-4429-9A2D-1803C4A32C57}"/>
    <cellStyle name="20% - Accent1 3 2 7" xfId="4513" xr:uid="{00000000-0005-0000-0000-000066000000}"/>
    <cellStyle name="20% - Accent1 3 2 7 2" xfId="12942" xr:uid="{6E76C97F-B801-432A-90A6-38042BF477FA}"/>
    <cellStyle name="20% - Accent1 3 2 8" xfId="8724" xr:uid="{4F167F3F-38B9-4794-B76F-0EB337F00002}"/>
    <cellStyle name="20% - Accent1 3 3" xfId="576" xr:uid="{00000000-0005-0000-0000-000067000000}"/>
    <cellStyle name="20% - Accent1 3 3 2" xfId="2847" xr:uid="{00000000-0005-0000-0000-000068000000}"/>
    <cellStyle name="20% - Accent1 3 3 2 2" xfId="7071" xr:uid="{00000000-0005-0000-0000-000069000000}"/>
    <cellStyle name="20% - Accent1 3 3 2 2 2" xfId="15500" xr:uid="{638A9359-2756-44FD-8A13-CD07AEF3089E}"/>
    <cellStyle name="20% - Accent1 3 3 2 3" xfId="11282" xr:uid="{A3808CCB-E53F-41F9-B97D-F6D0279C2048}"/>
    <cellStyle name="20% - Accent1 3 3 3" xfId="4926" xr:uid="{00000000-0005-0000-0000-00006A000000}"/>
    <cellStyle name="20% - Accent1 3 3 3 2" xfId="13355" xr:uid="{1B80C868-766B-4620-9F80-E5035E3EA3E8}"/>
    <cellStyle name="20% - Accent1 3 3 4" xfId="9137" xr:uid="{9F075929-7026-424C-8340-4D6A0CC3F9D4}"/>
    <cellStyle name="20% - Accent1 3 4" xfId="1029" xr:uid="{00000000-0005-0000-0000-00006B000000}"/>
    <cellStyle name="20% - Accent1 3 4 2" xfId="3260" xr:uid="{00000000-0005-0000-0000-00006C000000}"/>
    <cellStyle name="20% - Accent1 3 4 2 2" xfId="7484" xr:uid="{00000000-0005-0000-0000-00006D000000}"/>
    <cellStyle name="20% - Accent1 3 4 2 2 2" xfId="15913" xr:uid="{9A9F503B-336C-4654-BE6D-11DD017F0014}"/>
    <cellStyle name="20% - Accent1 3 4 2 3" xfId="11695" xr:uid="{E7DADF11-FB33-49BE-98B7-DB37306F189D}"/>
    <cellStyle name="20% - Accent1 3 4 3" xfId="5339" xr:uid="{00000000-0005-0000-0000-00006E000000}"/>
    <cellStyle name="20% - Accent1 3 4 3 2" xfId="13768" xr:uid="{9C63AD1D-3A55-460A-AE10-9E20C5B5C8E1}"/>
    <cellStyle name="20% - Accent1 3 4 4" xfId="9550" xr:uid="{6515DCFF-DC26-4080-93F2-82DDDFD17867}"/>
    <cellStyle name="20% - Accent1 3 5" xfId="1443" xr:uid="{00000000-0005-0000-0000-00006F000000}"/>
    <cellStyle name="20% - Accent1 3 5 2" xfId="3673" xr:uid="{00000000-0005-0000-0000-000070000000}"/>
    <cellStyle name="20% - Accent1 3 5 2 2" xfId="7897" xr:uid="{00000000-0005-0000-0000-000071000000}"/>
    <cellStyle name="20% - Accent1 3 5 2 2 2" xfId="16326" xr:uid="{387BADB3-4029-4952-AA98-1AD7D498EFCE}"/>
    <cellStyle name="20% - Accent1 3 5 2 3" xfId="12108" xr:uid="{1E8E2E8C-9884-4932-B9CE-951B7186A79A}"/>
    <cellStyle name="20% - Accent1 3 5 3" xfId="5752" xr:uid="{00000000-0005-0000-0000-000072000000}"/>
    <cellStyle name="20% - Accent1 3 5 3 2" xfId="14181" xr:uid="{80B0C4E6-0547-45F2-BE97-EB858A825085}"/>
    <cellStyle name="20% - Accent1 3 5 4" xfId="9963" xr:uid="{616ED4A1-8853-4476-84A2-EA27BD611E7C}"/>
    <cellStyle name="20% - Accent1 3 6" xfId="1857" xr:uid="{00000000-0005-0000-0000-000073000000}"/>
    <cellStyle name="20% - Accent1 3 6 2" xfId="4086" xr:uid="{00000000-0005-0000-0000-000074000000}"/>
    <cellStyle name="20% - Accent1 3 6 2 2" xfId="8310" xr:uid="{00000000-0005-0000-0000-000075000000}"/>
    <cellStyle name="20% - Accent1 3 6 2 2 2" xfId="16739" xr:uid="{3EF99B6E-1D6A-4B5E-9018-73B943E21353}"/>
    <cellStyle name="20% - Accent1 3 6 2 3" xfId="12521" xr:uid="{E6F14797-19C2-405B-8A15-565D339A19BA}"/>
    <cellStyle name="20% - Accent1 3 6 3" xfId="6165" xr:uid="{00000000-0005-0000-0000-000076000000}"/>
    <cellStyle name="20% - Accent1 3 6 3 2" xfId="14594" xr:uid="{A098AEE6-65E2-4B03-BD8D-B0CF310C28CB}"/>
    <cellStyle name="20% - Accent1 3 6 4" xfId="10376" xr:uid="{D3407BA0-7344-4B40-B836-E864600C0491}"/>
    <cellStyle name="20% - Accent1 3 7" xfId="2270" xr:uid="{00000000-0005-0000-0000-000077000000}"/>
    <cellStyle name="20% - Accent1 3 7 2" xfId="6578" xr:uid="{00000000-0005-0000-0000-000078000000}"/>
    <cellStyle name="20% - Accent1 3 7 2 2" xfId="15007" xr:uid="{22955D35-88C8-4180-9706-BAE3801FDF9B}"/>
    <cellStyle name="20% - Accent1 3 7 3" xfId="10789" xr:uid="{955814EE-CFA5-48D5-805E-7AA0974DF9FF}"/>
    <cellStyle name="20% - Accent1 3 8" xfId="4512" xr:uid="{00000000-0005-0000-0000-000079000000}"/>
    <cellStyle name="20% - Accent1 3 8 2" xfId="12941" xr:uid="{A6514271-2681-4CCB-8566-0C324C4D6998}"/>
    <cellStyle name="20% - Accent1 3 9" xfId="8723" xr:uid="{D61DA64B-77CE-4424-A596-818506010A87}"/>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2 2" xfId="15502" xr:uid="{7770D112-5EBE-4E29-97A5-B70119F530C8}"/>
    <cellStyle name="20% - Accent1 4 2 2 3" xfId="11284" xr:uid="{39284568-93EC-4C38-BD29-E68A8503969E}"/>
    <cellStyle name="20% - Accent1 4 2 3" xfId="4928" xr:uid="{00000000-0005-0000-0000-00007E000000}"/>
    <cellStyle name="20% - Accent1 4 2 3 2" xfId="13357" xr:uid="{2EA150C2-CA78-4B9A-B79C-F010C07B5BD3}"/>
    <cellStyle name="20% - Accent1 4 2 4" xfId="9139" xr:uid="{8F1BE0A5-CB46-4B2B-B2A9-E11A2A0977E4}"/>
    <cellStyle name="20% - Accent1 4 3" xfId="1031" xr:uid="{00000000-0005-0000-0000-00007F000000}"/>
    <cellStyle name="20% - Accent1 4 3 2" xfId="3262" xr:uid="{00000000-0005-0000-0000-000080000000}"/>
    <cellStyle name="20% - Accent1 4 3 2 2" xfId="7486" xr:uid="{00000000-0005-0000-0000-000081000000}"/>
    <cellStyle name="20% - Accent1 4 3 2 2 2" xfId="15915" xr:uid="{7CC33326-D3A8-493E-B110-3D9F1690AB65}"/>
    <cellStyle name="20% - Accent1 4 3 2 3" xfId="11697" xr:uid="{0A7DCE75-C45F-46CD-96C6-9918C4688761}"/>
    <cellStyle name="20% - Accent1 4 3 3" xfId="5341" xr:uid="{00000000-0005-0000-0000-000082000000}"/>
    <cellStyle name="20% - Accent1 4 3 3 2" xfId="13770" xr:uid="{8326838F-7D38-4661-8E99-4B0D6E5D1ADA}"/>
    <cellStyle name="20% - Accent1 4 3 4" xfId="9552" xr:uid="{9307BAB1-3213-4E8C-B055-D3C757AE21A8}"/>
    <cellStyle name="20% - Accent1 4 4" xfId="1445" xr:uid="{00000000-0005-0000-0000-000083000000}"/>
    <cellStyle name="20% - Accent1 4 4 2" xfId="3675" xr:uid="{00000000-0005-0000-0000-000084000000}"/>
    <cellStyle name="20% - Accent1 4 4 2 2" xfId="7899" xr:uid="{00000000-0005-0000-0000-000085000000}"/>
    <cellStyle name="20% - Accent1 4 4 2 2 2" xfId="16328" xr:uid="{311328BC-BE8A-4B02-8DB0-78B28F277010}"/>
    <cellStyle name="20% - Accent1 4 4 2 3" xfId="12110" xr:uid="{957399F7-70F1-4C68-9081-9568D26AC796}"/>
    <cellStyle name="20% - Accent1 4 4 3" xfId="5754" xr:uid="{00000000-0005-0000-0000-000086000000}"/>
    <cellStyle name="20% - Accent1 4 4 3 2" xfId="14183" xr:uid="{2A06D83D-8E77-4AE4-BB27-78E829F8CA68}"/>
    <cellStyle name="20% - Accent1 4 4 4" xfId="9965" xr:uid="{48DF82D3-7A22-4F9D-8611-9423FE4ACACC}"/>
    <cellStyle name="20% - Accent1 4 5" xfId="1859" xr:uid="{00000000-0005-0000-0000-000087000000}"/>
    <cellStyle name="20% - Accent1 4 5 2" xfId="4088" xr:uid="{00000000-0005-0000-0000-000088000000}"/>
    <cellStyle name="20% - Accent1 4 5 2 2" xfId="8312" xr:uid="{00000000-0005-0000-0000-000089000000}"/>
    <cellStyle name="20% - Accent1 4 5 2 2 2" xfId="16741" xr:uid="{E3780A59-E6EC-4CE2-BDD3-B21C6B27C6F1}"/>
    <cellStyle name="20% - Accent1 4 5 2 3" xfId="12523" xr:uid="{572EE26D-568D-4E9A-A932-4E47C16C56CC}"/>
    <cellStyle name="20% - Accent1 4 5 3" xfId="6167" xr:uid="{00000000-0005-0000-0000-00008A000000}"/>
    <cellStyle name="20% - Accent1 4 5 3 2" xfId="14596" xr:uid="{0CB9D5D1-FDE6-4A34-858E-F24AD264038B}"/>
    <cellStyle name="20% - Accent1 4 5 4" xfId="10378" xr:uid="{6159C1BE-9C30-4099-A123-9225392D4915}"/>
    <cellStyle name="20% - Accent1 4 6" xfId="2272" xr:uid="{00000000-0005-0000-0000-00008B000000}"/>
    <cellStyle name="20% - Accent1 4 6 2" xfId="6580" xr:uid="{00000000-0005-0000-0000-00008C000000}"/>
    <cellStyle name="20% - Accent1 4 6 2 2" xfId="15009" xr:uid="{6053B811-F69E-41C6-9CB5-110C47154D80}"/>
    <cellStyle name="20% - Accent1 4 6 3" xfId="10791" xr:uid="{7D8A0E24-E34E-4E8D-9C6A-21255E7D7792}"/>
    <cellStyle name="20% - Accent1 4 7" xfId="4514" xr:uid="{00000000-0005-0000-0000-00008D000000}"/>
    <cellStyle name="20% - Accent1 4 7 2" xfId="12943" xr:uid="{3BF63094-1CCE-4F71-AB9A-9D74B9F9A3CE}"/>
    <cellStyle name="20% - Accent1 4 8" xfId="8725" xr:uid="{B48E19C6-8814-4D8E-B4DD-200FA1DD1A18}"/>
    <cellStyle name="20% - Accent1 5" xfId="571" xr:uid="{00000000-0005-0000-0000-00008E000000}"/>
    <cellStyle name="20% - Accent1 5 2" xfId="2842" xr:uid="{00000000-0005-0000-0000-00008F000000}"/>
    <cellStyle name="20% - Accent1 5 2 2" xfId="7066" xr:uid="{00000000-0005-0000-0000-000090000000}"/>
    <cellStyle name="20% - Accent1 5 2 2 2" xfId="15495" xr:uid="{6F0877E5-DFD3-4C81-A952-F25CA068A937}"/>
    <cellStyle name="20% - Accent1 5 2 3" xfId="11277" xr:uid="{0623A750-A6DA-4513-BCE4-5CDF8F75DDEA}"/>
    <cellStyle name="20% - Accent1 5 3" xfId="4921" xr:uid="{00000000-0005-0000-0000-000091000000}"/>
    <cellStyle name="20% - Accent1 5 3 2" xfId="13350" xr:uid="{36BDB182-5682-4B87-BDF2-8F7002BC5496}"/>
    <cellStyle name="20% - Accent1 5 4" xfId="9132" xr:uid="{808DB5DF-DF9A-4949-9DAF-964B77943EC3}"/>
    <cellStyle name="20% - Accent1 6" xfId="1024" xr:uid="{00000000-0005-0000-0000-000092000000}"/>
    <cellStyle name="20% - Accent1 6 2" xfId="3255" xr:uid="{00000000-0005-0000-0000-000093000000}"/>
    <cellStyle name="20% - Accent1 6 2 2" xfId="7479" xr:uid="{00000000-0005-0000-0000-000094000000}"/>
    <cellStyle name="20% - Accent1 6 2 2 2" xfId="15908" xr:uid="{F127ED3A-3778-4273-96D5-DD555EBCDC64}"/>
    <cellStyle name="20% - Accent1 6 2 3" xfId="11690" xr:uid="{C10A7DB7-7F59-4235-8B67-93F5E0AED757}"/>
    <cellStyle name="20% - Accent1 6 3" xfId="5334" xr:uid="{00000000-0005-0000-0000-000095000000}"/>
    <cellStyle name="20% - Accent1 6 3 2" xfId="13763" xr:uid="{2C88D4C3-27EE-4181-B08A-B56AE1532CFF}"/>
    <cellStyle name="20% - Accent1 6 4" xfId="9545" xr:uid="{7F09E113-BE3C-46C1-A5C0-94E6FD51FC17}"/>
    <cellStyle name="20% - Accent1 7" xfId="1438" xr:uid="{00000000-0005-0000-0000-000096000000}"/>
    <cellStyle name="20% - Accent1 7 2" xfId="3668" xr:uid="{00000000-0005-0000-0000-000097000000}"/>
    <cellStyle name="20% - Accent1 7 2 2" xfId="7892" xr:uid="{00000000-0005-0000-0000-000098000000}"/>
    <cellStyle name="20% - Accent1 7 2 2 2" xfId="16321" xr:uid="{5F667C02-7213-4044-BD68-3204E02D5570}"/>
    <cellStyle name="20% - Accent1 7 2 3" xfId="12103" xr:uid="{EC7B81B6-D555-43B2-B973-BB95755949D3}"/>
    <cellStyle name="20% - Accent1 7 3" xfId="5747" xr:uid="{00000000-0005-0000-0000-000099000000}"/>
    <cellStyle name="20% - Accent1 7 3 2" xfId="14176" xr:uid="{056D7109-7F3B-4E95-BBCA-215C28AC2EB3}"/>
    <cellStyle name="20% - Accent1 7 4" xfId="9958" xr:uid="{FACDA1F5-86D2-4B13-8A1A-070A9925DFFB}"/>
    <cellStyle name="20% - Accent1 8" xfId="1852" xr:uid="{00000000-0005-0000-0000-00009A000000}"/>
    <cellStyle name="20% - Accent1 8 2" xfId="4081" xr:uid="{00000000-0005-0000-0000-00009B000000}"/>
    <cellStyle name="20% - Accent1 8 2 2" xfId="8305" xr:uid="{00000000-0005-0000-0000-00009C000000}"/>
    <cellStyle name="20% - Accent1 8 2 2 2" xfId="16734" xr:uid="{39326D0D-B911-4009-869F-5A5518D3A6E3}"/>
    <cellStyle name="20% - Accent1 8 2 3" xfId="12516" xr:uid="{4C043A3A-CFD7-4CF8-89B0-E14B6446E14F}"/>
    <cellStyle name="20% - Accent1 8 3" xfId="6160" xr:uid="{00000000-0005-0000-0000-00009D000000}"/>
    <cellStyle name="20% - Accent1 8 3 2" xfId="14589" xr:uid="{38312D5B-AB0D-49EB-9996-1CA843E6EE9C}"/>
    <cellStyle name="20% - Accent1 8 4" xfId="10371" xr:uid="{BF283772-D6C8-4911-A0DE-F4891C47DF4C}"/>
    <cellStyle name="20% - Accent1 9" xfId="2265" xr:uid="{00000000-0005-0000-0000-00009E000000}"/>
    <cellStyle name="20% - Accent1 9 2" xfId="6573" xr:uid="{00000000-0005-0000-0000-00009F000000}"/>
    <cellStyle name="20% - Accent1 9 2 2" xfId="15002" xr:uid="{2A71D5F0-C4F3-47E9-BC65-702AD02C815B}"/>
    <cellStyle name="20% - Accent1 9 3" xfId="10784" xr:uid="{C3B9C7B9-78C8-44F9-9FFC-4068814EC140}"/>
    <cellStyle name="20% - Accent2" xfId="9" builtinId="34" customBuiltin="1"/>
    <cellStyle name="20% - Accent2 10" xfId="4515" xr:uid="{00000000-0005-0000-0000-0000A1000000}"/>
    <cellStyle name="20% - Accent2 10 2" xfId="12944" xr:uid="{3761B1F3-0E97-418C-A009-64F60BFCA074}"/>
    <cellStyle name="20% - Accent2 11" xfId="8726" xr:uid="{2FA61FCF-5C62-46C3-A514-0B646D623CC8}"/>
    <cellStyle name="20% - Accent2 2" xfId="10" xr:uid="{00000000-0005-0000-0000-0000A2000000}"/>
    <cellStyle name="20% - Accent2 2 10" xfId="8727" xr:uid="{00F36CBA-CF9A-4D8B-B272-9BE6C387CF8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2 2" xfId="15506" xr:uid="{366242FC-3566-43BD-B650-2F692570D156}"/>
    <cellStyle name="20% - Accent2 2 2 2 2 2 3" xfId="11288" xr:uid="{1361AF03-F8A6-4DD9-A984-56AE51E58E97}"/>
    <cellStyle name="20% - Accent2 2 2 2 2 3" xfId="4932" xr:uid="{00000000-0005-0000-0000-0000A8000000}"/>
    <cellStyle name="20% - Accent2 2 2 2 2 3 2" xfId="13361" xr:uid="{B9F57CE6-90DA-4B83-88AC-91131D112AE9}"/>
    <cellStyle name="20% - Accent2 2 2 2 2 4" xfId="9143" xr:uid="{746D7738-2D2E-42B2-A966-8F62C7EC1754}"/>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2 2" xfId="15919" xr:uid="{F8614474-1ED9-40AC-A19C-C444E6DEFC41}"/>
    <cellStyle name="20% - Accent2 2 2 2 3 2 3" xfId="11701" xr:uid="{C85B2FC9-1103-47DB-88A7-2A899462BE81}"/>
    <cellStyle name="20% - Accent2 2 2 2 3 3" xfId="5345" xr:uid="{00000000-0005-0000-0000-0000AC000000}"/>
    <cellStyle name="20% - Accent2 2 2 2 3 3 2" xfId="13774" xr:uid="{20B23194-CC9F-4057-BE37-1D73AE829D48}"/>
    <cellStyle name="20% - Accent2 2 2 2 3 4" xfId="9556" xr:uid="{59EB5620-CC42-46F4-8EEF-65E30B0BDEE8}"/>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2 2" xfId="16332" xr:uid="{D576118C-0F3B-461E-806A-093741DED79B}"/>
    <cellStyle name="20% - Accent2 2 2 2 4 2 3" xfId="12114" xr:uid="{FA6B723A-E704-4775-BC44-44F05813E0AB}"/>
    <cellStyle name="20% - Accent2 2 2 2 4 3" xfId="5758" xr:uid="{00000000-0005-0000-0000-0000B0000000}"/>
    <cellStyle name="20% - Accent2 2 2 2 4 3 2" xfId="14187" xr:uid="{25F7866F-5DE0-4610-9B86-0C76F39F9E28}"/>
    <cellStyle name="20% - Accent2 2 2 2 4 4" xfId="9969" xr:uid="{FB1A9CD3-10F4-40C9-99E7-1940D9DE3D76}"/>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2 2" xfId="16745" xr:uid="{05DFBAF1-DCB6-4BF0-A9AD-C3D1842FC58F}"/>
    <cellStyle name="20% - Accent2 2 2 2 5 2 3" xfId="12527" xr:uid="{B6F5C274-B945-4116-BB91-721D4BB5F9F2}"/>
    <cellStyle name="20% - Accent2 2 2 2 5 3" xfId="6171" xr:uid="{00000000-0005-0000-0000-0000B4000000}"/>
    <cellStyle name="20% - Accent2 2 2 2 5 3 2" xfId="14600" xr:uid="{F91EAEDD-AC02-4B59-BE83-9210F86F3585}"/>
    <cellStyle name="20% - Accent2 2 2 2 5 4" xfId="10382" xr:uid="{2ED00E1D-6C01-4045-B8DA-85ACEC51C0E0}"/>
    <cellStyle name="20% - Accent2 2 2 2 6" xfId="2276" xr:uid="{00000000-0005-0000-0000-0000B5000000}"/>
    <cellStyle name="20% - Accent2 2 2 2 6 2" xfId="6584" xr:uid="{00000000-0005-0000-0000-0000B6000000}"/>
    <cellStyle name="20% - Accent2 2 2 2 6 2 2" xfId="15013" xr:uid="{9D98D2C8-ED0E-480A-B123-FA88699ABB43}"/>
    <cellStyle name="20% - Accent2 2 2 2 6 3" xfId="10795" xr:uid="{79431590-A011-47AB-9C5D-6EAB2A81F54F}"/>
    <cellStyle name="20% - Accent2 2 2 2 7" xfId="4518" xr:uid="{00000000-0005-0000-0000-0000B7000000}"/>
    <cellStyle name="20% - Accent2 2 2 2 7 2" xfId="12947" xr:uid="{E312F58D-194C-4295-8DD4-EA92F2B26062}"/>
    <cellStyle name="20% - Accent2 2 2 2 8" xfId="8729" xr:uid="{9A7DF79F-1102-406C-8077-CA8936921D8C}"/>
    <cellStyle name="20% - Accent2 2 2 3" xfId="581" xr:uid="{00000000-0005-0000-0000-0000B8000000}"/>
    <cellStyle name="20% - Accent2 2 2 3 2" xfId="2852" xr:uid="{00000000-0005-0000-0000-0000B9000000}"/>
    <cellStyle name="20% - Accent2 2 2 3 2 2" xfId="7076" xr:uid="{00000000-0005-0000-0000-0000BA000000}"/>
    <cellStyle name="20% - Accent2 2 2 3 2 2 2" xfId="15505" xr:uid="{FF5BAFFD-842C-4F9C-85EA-9306F76560F8}"/>
    <cellStyle name="20% - Accent2 2 2 3 2 3" xfId="11287" xr:uid="{07DF6A50-C6A4-4A41-93CD-8C543007B7A2}"/>
    <cellStyle name="20% - Accent2 2 2 3 3" xfId="4931" xr:uid="{00000000-0005-0000-0000-0000BB000000}"/>
    <cellStyle name="20% - Accent2 2 2 3 3 2" xfId="13360" xr:uid="{7E0D220F-2016-4C8A-8F6D-AB18387C7B57}"/>
    <cellStyle name="20% - Accent2 2 2 3 4" xfId="9142" xr:uid="{27161C7E-2452-44F3-B997-C3431693AE8B}"/>
    <cellStyle name="20% - Accent2 2 2 4" xfId="1034" xr:uid="{00000000-0005-0000-0000-0000BC000000}"/>
    <cellStyle name="20% - Accent2 2 2 4 2" xfId="3265" xr:uid="{00000000-0005-0000-0000-0000BD000000}"/>
    <cellStyle name="20% - Accent2 2 2 4 2 2" xfId="7489" xr:uid="{00000000-0005-0000-0000-0000BE000000}"/>
    <cellStyle name="20% - Accent2 2 2 4 2 2 2" xfId="15918" xr:uid="{B828C40F-D2DB-486F-9158-5673FC6F8878}"/>
    <cellStyle name="20% - Accent2 2 2 4 2 3" xfId="11700" xr:uid="{8195CECF-AB69-4086-B117-AC72EAB7EF61}"/>
    <cellStyle name="20% - Accent2 2 2 4 3" xfId="5344" xr:uid="{00000000-0005-0000-0000-0000BF000000}"/>
    <cellStyle name="20% - Accent2 2 2 4 3 2" xfId="13773" xr:uid="{8C3F44AF-691C-46DE-A741-33D8ABB2DB50}"/>
    <cellStyle name="20% - Accent2 2 2 4 4" xfId="9555" xr:uid="{4C011BDE-CF07-4B6F-AB92-4212A3AC3998}"/>
    <cellStyle name="20% - Accent2 2 2 5" xfId="1448" xr:uid="{00000000-0005-0000-0000-0000C0000000}"/>
    <cellStyle name="20% - Accent2 2 2 5 2" xfId="3678" xr:uid="{00000000-0005-0000-0000-0000C1000000}"/>
    <cellStyle name="20% - Accent2 2 2 5 2 2" xfId="7902" xr:uid="{00000000-0005-0000-0000-0000C2000000}"/>
    <cellStyle name="20% - Accent2 2 2 5 2 2 2" xfId="16331" xr:uid="{454F52EE-55D4-40FC-A013-0802617D7F95}"/>
    <cellStyle name="20% - Accent2 2 2 5 2 3" xfId="12113" xr:uid="{29350A72-8A65-4F6A-949F-AEED88095D62}"/>
    <cellStyle name="20% - Accent2 2 2 5 3" xfId="5757" xr:uid="{00000000-0005-0000-0000-0000C3000000}"/>
    <cellStyle name="20% - Accent2 2 2 5 3 2" xfId="14186" xr:uid="{B0053800-E86A-4C51-A14A-7F5AD35C4B72}"/>
    <cellStyle name="20% - Accent2 2 2 5 4" xfId="9968" xr:uid="{D52B3EF8-A06C-4D99-9AD6-F38D09179D70}"/>
    <cellStyle name="20% - Accent2 2 2 6" xfId="1862" xr:uid="{00000000-0005-0000-0000-0000C4000000}"/>
    <cellStyle name="20% - Accent2 2 2 6 2" xfId="4091" xr:uid="{00000000-0005-0000-0000-0000C5000000}"/>
    <cellStyle name="20% - Accent2 2 2 6 2 2" xfId="8315" xr:uid="{00000000-0005-0000-0000-0000C6000000}"/>
    <cellStyle name="20% - Accent2 2 2 6 2 2 2" xfId="16744" xr:uid="{55125E64-B1BF-4A47-A9EC-312730840EBD}"/>
    <cellStyle name="20% - Accent2 2 2 6 2 3" xfId="12526" xr:uid="{D173FA51-187C-4A5D-B65C-C40FAD3DEFFC}"/>
    <cellStyle name="20% - Accent2 2 2 6 3" xfId="6170" xr:uid="{00000000-0005-0000-0000-0000C7000000}"/>
    <cellStyle name="20% - Accent2 2 2 6 3 2" xfId="14599" xr:uid="{93B46186-B849-4770-AE74-F1112E1D7865}"/>
    <cellStyle name="20% - Accent2 2 2 6 4" xfId="10381" xr:uid="{0E250398-C520-465C-B611-889C50FA41D3}"/>
    <cellStyle name="20% - Accent2 2 2 7" xfId="2275" xr:uid="{00000000-0005-0000-0000-0000C8000000}"/>
    <cellStyle name="20% - Accent2 2 2 7 2" xfId="6583" xr:uid="{00000000-0005-0000-0000-0000C9000000}"/>
    <cellStyle name="20% - Accent2 2 2 7 2 2" xfId="15012" xr:uid="{B1D27D4C-7C8D-469D-B6AB-EA791A8B4307}"/>
    <cellStyle name="20% - Accent2 2 2 7 3" xfId="10794" xr:uid="{F542CC54-3023-49FA-B688-76753682BE10}"/>
    <cellStyle name="20% - Accent2 2 2 8" xfId="4517" xr:uid="{00000000-0005-0000-0000-0000CA000000}"/>
    <cellStyle name="20% - Accent2 2 2 8 2" xfId="12946" xr:uid="{0FDB5094-F357-4496-9822-996738A439FD}"/>
    <cellStyle name="20% - Accent2 2 2 9" xfId="8728" xr:uid="{1222AC39-9319-423E-A116-0156FACC8D6F}"/>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2 2" xfId="15507" xr:uid="{C3B4846D-EA59-4D6F-AE31-C36CC3275188}"/>
    <cellStyle name="20% - Accent2 2 3 2 2 3" xfId="11289" xr:uid="{3ED99944-1BC7-437C-9E8A-75AFF3893E4F}"/>
    <cellStyle name="20% - Accent2 2 3 2 3" xfId="4933" xr:uid="{00000000-0005-0000-0000-0000CF000000}"/>
    <cellStyle name="20% - Accent2 2 3 2 3 2" xfId="13362" xr:uid="{EFE136AD-F67B-48DC-B457-115501E98EBA}"/>
    <cellStyle name="20% - Accent2 2 3 2 4" xfId="9144" xr:uid="{6D47B368-920A-4BED-B0FD-5FF13809B866}"/>
    <cellStyle name="20% - Accent2 2 3 3" xfId="1036" xr:uid="{00000000-0005-0000-0000-0000D0000000}"/>
    <cellStyle name="20% - Accent2 2 3 3 2" xfId="3267" xr:uid="{00000000-0005-0000-0000-0000D1000000}"/>
    <cellStyle name="20% - Accent2 2 3 3 2 2" xfId="7491" xr:uid="{00000000-0005-0000-0000-0000D2000000}"/>
    <cellStyle name="20% - Accent2 2 3 3 2 2 2" xfId="15920" xr:uid="{09726300-600C-442D-89CB-1010A2D8CE16}"/>
    <cellStyle name="20% - Accent2 2 3 3 2 3" xfId="11702" xr:uid="{38D95E60-95EE-48FE-AF10-4C306933A5D9}"/>
    <cellStyle name="20% - Accent2 2 3 3 3" xfId="5346" xr:uid="{00000000-0005-0000-0000-0000D3000000}"/>
    <cellStyle name="20% - Accent2 2 3 3 3 2" xfId="13775" xr:uid="{8C4292E4-EC47-4340-98DA-ED957A510778}"/>
    <cellStyle name="20% - Accent2 2 3 3 4" xfId="9557" xr:uid="{2513A654-FD1B-43C0-87F8-9BED4365ECD7}"/>
    <cellStyle name="20% - Accent2 2 3 4" xfId="1450" xr:uid="{00000000-0005-0000-0000-0000D4000000}"/>
    <cellStyle name="20% - Accent2 2 3 4 2" xfId="3680" xr:uid="{00000000-0005-0000-0000-0000D5000000}"/>
    <cellStyle name="20% - Accent2 2 3 4 2 2" xfId="7904" xr:uid="{00000000-0005-0000-0000-0000D6000000}"/>
    <cellStyle name="20% - Accent2 2 3 4 2 2 2" xfId="16333" xr:uid="{49A8E81E-EF2B-4110-A0C1-371A6A28C8F8}"/>
    <cellStyle name="20% - Accent2 2 3 4 2 3" xfId="12115" xr:uid="{33D747AB-530C-4E9D-AB35-9B76A09F6484}"/>
    <cellStyle name="20% - Accent2 2 3 4 3" xfId="5759" xr:uid="{00000000-0005-0000-0000-0000D7000000}"/>
    <cellStyle name="20% - Accent2 2 3 4 3 2" xfId="14188" xr:uid="{FBE8AA80-B43E-4BA3-859E-ACD7BD11B2CF}"/>
    <cellStyle name="20% - Accent2 2 3 4 4" xfId="9970" xr:uid="{DC58B858-D5DD-406E-9C28-95C5492476BB}"/>
    <cellStyle name="20% - Accent2 2 3 5" xfId="1864" xr:uid="{00000000-0005-0000-0000-0000D8000000}"/>
    <cellStyle name="20% - Accent2 2 3 5 2" xfId="4093" xr:uid="{00000000-0005-0000-0000-0000D9000000}"/>
    <cellStyle name="20% - Accent2 2 3 5 2 2" xfId="8317" xr:uid="{00000000-0005-0000-0000-0000DA000000}"/>
    <cellStyle name="20% - Accent2 2 3 5 2 2 2" xfId="16746" xr:uid="{6EB0559C-7EDF-4BEF-8D78-2EDBADFC3DE1}"/>
    <cellStyle name="20% - Accent2 2 3 5 2 3" xfId="12528" xr:uid="{0972F73E-184C-4E19-B289-9DF08EE2F900}"/>
    <cellStyle name="20% - Accent2 2 3 5 3" xfId="6172" xr:uid="{00000000-0005-0000-0000-0000DB000000}"/>
    <cellStyle name="20% - Accent2 2 3 5 3 2" xfId="14601" xr:uid="{71349933-BC62-4C82-95DF-5D7EA2B65B6E}"/>
    <cellStyle name="20% - Accent2 2 3 5 4" xfId="10383" xr:uid="{3AA35BB0-CB8B-4A5B-90B1-ECC3BB954779}"/>
    <cellStyle name="20% - Accent2 2 3 6" xfId="2277" xr:uid="{00000000-0005-0000-0000-0000DC000000}"/>
    <cellStyle name="20% - Accent2 2 3 6 2" xfId="6585" xr:uid="{00000000-0005-0000-0000-0000DD000000}"/>
    <cellStyle name="20% - Accent2 2 3 6 2 2" xfId="15014" xr:uid="{089E7633-1DDC-4D18-A0D7-7CDC109F196F}"/>
    <cellStyle name="20% - Accent2 2 3 6 3" xfId="10796" xr:uid="{D0ED38D5-D0E8-4263-B0BE-9B0862639E87}"/>
    <cellStyle name="20% - Accent2 2 3 7" xfId="4519" xr:uid="{00000000-0005-0000-0000-0000DE000000}"/>
    <cellStyle name="20% - Accent2 2 3 7 2" xfId="12948" xr:uid="{AF38F100-C6BE-4E51-A556-01135CE5B8F0}"/>
    <cellStyle name="20% - Accent2 2 3 8" xfId="8730" xr:uid="{2EA73045-1340-4195-B2AC-F2A552D6E6A2}"/>
    <cellStyle name="20% - Accent2 2 4" xfId="580" xr:uid="{00000000-0005-0000-0000-0000DF000000}"/>
    <cellStyle name="20% - Accent2 2 4 2" xfId="2851" xr:uid="{00000000-0005-0000-0000-0000E0000000}"/>
    <cellStyle name="20% - Accent2 2 4 2 2" xfId="7075" xr:uid="{00000000-0005-0000-0000-0000E1000000}"/>
    <cellStyle name="20% - Accent2 2 4 2 2 2" xfId="15504" xr:uid="{F9E54262-F35C-4BB1-91F4-6C3D971FA29E}"/>
    <cellStyle name="20% - Accent2 2 4 2 3" xfId="11286" xr:uid="{CC4352B4-F02B-4B01-A5EF-EC7462551BDF}"/>
    <cellStyle name="20% - Accent2 2 4 3" xfId="4930" xr:uid="{00000000-0005-0000-0000-0000E2000000}"/>
    <cellStyle name="20% - Accent2 2 4 3 2" xfId="13359" xr:uid="{185A4FBA-2370-4672-B92F-E91FC99AC7D1}"/>
    <cellStyle name="20% - Accent2 2 4 4" xfId="9141" xr:uid="{B325101A-1869-4FC5-8B4E-4B1CCFE54236}"/>
    <cellStyle name="20% - Accent2 2 5" xfId="1033" xr:uid="{00000000-0005-0000-0000-0000E3000000}"/>
    <cellStyle name="20% - Accent2 2 5 2" xfId="3264" xr:uid="{00000000-0005-0000-0000-0000E4000000}"/>
    <cellStyle name="20% - Accent2 2 5 2 2" xfId="7488" xr:uid="{00000000-0005-0000-0000-0000E5000000}"/>
    <cellStyle name="20% - Accent2 2 5 2 2 2" xfId="15917" xr:uid="{3BF87C51-6983-4308-814A-185C8BA9B221}"/>
    <cellStyle name="20% - Accent2 2 5 2 3" xfId="11699" xr:uid="{9A458393-6884-4B60-8F6D-4834B954218F}"/>
    <cellStyle name="20% - Accent2 2 5 3" xfId="5343" xr:uid="{00000000-0005-0000-0000-0000E6000000}"/>
    <cellStyle name="20% - Accent2 2 5 3 2" xfId="13772" xr:uid="{4A674144-F8B2-4858-9853-5B43A3D6B737}"/>
    <cellStyle name="20% - Accent2 2 5 4" xfId="9554" xr:uid="{A88DAC86-6595-4FEC-A87C-AC834F7BE6A2}"/>
    <cellStyle name="20% - Accent2 2 6" xfId="1447" xr:uid="{00000000-0005-0000-0000-0000E7000000}"/>
    <cellStyle name="20% - Accent2 2 6 2" xfId="3677" xr:uid="{00000000-0005-0000-0000-0000E8000000}"/>
    <cellStyle name="20% - Accent2 2 6 2 2" xfId="7901" xr:uid="{00000000-0005-0000-0000-0000E9000000}"/>
    <cellStyle name="20% - Accent2 2 6 2 2 2" xfId="16330" xr:uid="{11BDCEAF-42A6-486A-B6BE-2542A3E25A63}"/>
    <cellStyle name="20% - Accent2 2 6 2 3" xfId="12112" xr:uid="{9948FA11-FD49-4FF9-ACD1-40B96B65E350}"/>
    <cellStyle name="20% - Accent2 2 6 3" xfId="5756" xr:uid="{00000000-0005-0000-0000-0000EA000000}"/>
    <cellStyle name="20% - Accent2 2 6 3 2" xfId="14185" xr:uid="{11388B4A-0A4E-4776-A673-2788F1142A8C}"/>
    <cellStyle name="20% - Accent2 2 6 4" xfId="9967" xr:uid="{2DF8A14A-A0FA-4554-9DD0-79D15F3CD35F}"/>
    <cellStyle name="20% - Accent2 2 7" xfId="1861" xr:uid="{00000000-0005-0000-0000-0000EB000000}"/>
    <cellStyle name="20% - Accent2 2 7 2" xfId="4090" xr:uid="{00000000-0005-0000-0000-0000EC000000}"/>
    <cellStyle name="20% - Accent2 2 7 2 2" xfId="8314" xr:uid="{00000000-0005-0000-0000-0000ED000000}"/>
    <cellStyle name="20% - Accent2 2 7 2 2 2" xfId="16743" xr:uid="{6B543388-05EC-410A-ACBD-3036783D7D04}"/>
    <cellStyle name="20% - Accent2 2 7 2 3" xfId="12525" xr:uid="{017DCB7A-3CB4-462B-819F-8BC5C3FC9486}"/>
    <cellStyle name="20% - Accent2 2 7 3" xfId="6169" xr:uid="{00000000-0005-0000-0000-0000EE000000}"/>
    <cellStyle name="20% - Accent2 2 7 3 2" xfId="14598" xr:uid="{AB391309-726C-4F71-8C35-27B596D46042}"/>
    <cellStyle name="20% - Accent2 2 7 4" xfId="10380" xr:uid="{8FC2DB56-EC2C-46C7-899A-D1398CB801FE}"/>
    <cellStyle name="20% - Accent2 2 8" xfId="2274" xr:uid="{00000000-0005-0000-0000-0000EF000000}"/>
    <cellStyle name="20% - Accent2 2 8 2" xfId="6582" xr:uid="{00000000-0005-0000-0000-0000F0000000}"/>
    <cellStyle name="20% - Accent2 2 8 2 2" xfId="15011" xr:uid="{1C110AE0-537B-4421-A63F-9A74C57B70AA}"/>
    <cellStyle name="20% - Accent2 2 8 3" xfId="10793" xr:uid="{3DBF2F33-BC14-4AC8-9039-B67F310E4F1C}"/>
    <cellStyle name="20% - Accent2 2 9" xfId="4516" xr:uid="{00000000-0005-0000-0000-0000F1000000}"/>
    <cellStyle name="20% - Accent2 2 9 2" xfId="12945" xr:uid="{B5AEB77C-36FA-4181-8E78-EF4E0C3D23AF}"/>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2 2" xfId="15509" xr:uid="{609F7A2A-485D-43D0-8D62-6432224D4B34}"/>
    <cellStyle name="20% - Accent2 3 2 2 2 3" xfId="11291" xr:uid="{631F9349-60F4-46DC-BE47-3B60A59E736E}"/>
    <cellStyle name="20% - Accent2 3 2 2 3" xfId="4935" xr:uid="{00000000-0005-0000-0000-0000F7000000}"/>
    <cellStyle name="20% - Accent2 3 2 2 3 2" xfId="13364" xr:uid="{7DD20AE3-714F-49D7-ADF0-09960E6F822B}"/>
    <cellStyle name="20% - Accent2 3 2 2 4" xfId="9146" xr:uid="{6A8AC3B3-75AD-4489-9EFB-904A2E0089B9}"/>
    <cellStyle name="20% - Accent2 3 2 3" xfId="1038" xr:uid="{00000000-0005-0000-0000-0000F8000000}"/>
    <cellStyle name="20% - Accent2 3 2 3 2" xfId="3269" xr:uid="{00000000-0005-0000-0000-0000F9000000}"/>
    <cellStyle name="20% - Accent2 3 2 3 2 2" xfId="7493" xr:uid="{00000000-0005-0000-0000-0000FA000000}"/>
    <cellStyle name="20% - Accent2 3 2 3 2 2 2" xfId="15922" xr:uid="{FECE88BF-F308-4819-B703-3330702FFE4D}"/>
    <cellStyle name="20% - Accent2 3 2 3 2 3" xfId="11704" xr:uid="{9E08DF84-3448-4292-B273-6B9AF8B24ADA}"/>
    <cellStyle name="20% - Accent2 3 2 3 3" xfId="5348" xr:uid="{00000000-0005-0000-0000-0000FB000000}"/>
    <cellStyle name="20% - Accent2 3 2 3 3 2" xfId="13777" xr:uid="{416EBF8B-04C1-456A-952A-E876C1EC1AF4}"/>
    <cellStyle name="20% - Accent2 3 2 3 4" xfId="9559" xr:uid="{375C5BA4-16DB-4A55-89B3-CE5CBEF261F6}"/>
    <cellStyle name="20% - Accent2 3 2 4" xfId="1452" xr:uid="{00000000-0005-0000-0000-0000FC000000}"/>
    <cellStyle name="20% - Accent2 3 2 4 2" xfId="3682" xr:uid="{00000000-0005-0000-0000-0000FD000000}"/>
    <cellStyle name="20% - Accent2 3 2 4 2 2" xfId="7906" xr:uid="{00000000-0005-0000-0000-0000FE000000}"/>
    <cellStyle name="20% - Accent2 3 2 4 2 2 2" xfId="16335" xr:uid="{859A0EC7-4E55-423D-9CF6-4DE0CF2D9F06}"/>
    <cellStyle name="20% - Accent2 3 2 4 2 3" xfId="12117" xr:uid="{F5C7C12D-3F9B-4118-BDCD-B12297999D88}"/>
    <cellStyle name="20% - Accent2 3 2 4 3" xfId="5761" xr:uid="{00000000-0005-0000-0000-0000FF000000}"/>
    <cellStyle name="20% - Accent2 3 2 4 3 2" xfId="14190" xr:uid="{71BB9F3D-83D6-447C-A805-56CBF32D9827}"/>
    <cellStyle name="20% - Accent2 3 2 4 4" xfId="9972" xr:uid="{206D469B-B99F-450D-A0C0-2680DA9228A0}"/>
    <cellStyle name="20% - Accent2 3 2 5" xfId="1866" xr:uid="{00000000-0005-0000-0000-000000010000}"/>
    <cellStyle name="20% - Accent2 3 2 5 2" xfId="4095" xr:uid="{00000000-0005-0000-0000-000001010000}"/>
    <cellStyle name="20% - Accent2 3 2 5 2 2" xfId="8319" xr:uid="{00000000-0005-0000-0000-000002010000}"/>
    <cellStyle name="20% - Accent2 3 2 5 2 2 2" xfId="16748" xr:uid="{44ED92ED-5588-40D1-B0B2-4B8DB86A891A}"/>
    <cellStyle name="20% - Accent2 3 2 5 2 3" xfId="12530" xr:uid="{A85B5220-7E20-4384-9289-50D9B4B6B48A}"/>
    <cellStyle name="20% - Accent2 3 2 5 3" xfId="6174" xr:uid="{00000000-0005-0000-0000-000003010000}"/>
    <cellStyle name="20% - Accent2 3 2 5 3 2" xfId="14603" xr:uid="{EAC5D80B-C5BB-4A3B-B8E6-E7D47277EC5C}"/>
    <cellStyle name="20% - Accent2 3 2 5 4" xfId="10385" xr:uid="{D4EB240C-2ABF-432D-AA25-D7BE8B5160C9}"/>
    <cellStyle name="20% - Accent2 3 2 6" xfId="2279" xr:uid="{00000000-0005-0000-0000-000004010000}"/>
    <cellStyle name="20% - Accent2 3 2 6 2" xfId="6587" xr:uid="{00000000-0005-0000-0000-000005010000}"/>
    <cellStyle name="20% - Accent2 3 2 6 2 2" xfId="15016" xr:uid="{85D343FD-5EBC-4300-BBFF-07A2E1DA8462}"/>
    <cellStyle name="20% - Accent2 3 2 6 3" xfId="10798" xr:uid="{0480D899-935C-4FE5-8EEB-20807BBA95DD}"/>
    <cellStyle name="20% - Accent2 3 2 7" xfId="4521" xr:uid="{00000000-0005-0000-0000-000006010000}"/>
    <cellStyle name="20% - Accent2 3 2 7 2" xfId="12950" xr:uid="{EAF1E77A-A140-48DF-BC0F-4CFC5601F9A6}"/>
    <cellStyle name="20% - Accent2 3 2 8" xfId="8732" xr:uid="{ACC36AE2-BB58-48A2-959F-85B73E3007E7}"/>
    <cellStyle name="20% - Accent2 3 3" xfId="584" xr:uid="{00000000-0005-0000-0000-000007010000}"/>
    <cellStyle name="20% - Accent2 3 3 2" xfId="2855" xr:uid="{00000000-0005-0000-0000-000008010000}"/>
    <cellStyle name="20% - Accent2 3 3 2 2" xfId="7079" xr:uid="{00000000-0005-0000-0000-000009010000}"/>
    <cellStyle name="20% - Accent2 3 3 2 2 2" xfId="15508" xr:uid="{6B1CA643-ABEC-4E9A-81C8-BFA249FC9E04}"/>
    <cellStyle name="20% - Accent2 3 3 2 3" xfId="11290" xr:uid="{63F0E0C6-68A0-45C9-844B-50F367FA4466}"/>
    <cellStyle name="20% - Accent2 3 3 3" xfId="4934" xr:uid="{00000000-0005-0000-0000-00000A010000}"/>
    <cellStyle name="20% - Accent2 3 3 3 2" xfId="13363" xr:uid="{259D2E71-305C-40D1-96FB-E1C08DC7D2C5}"/>
    <cellStyle name="20% - Accent2 3 3 4" xfId="9145" xr:uid="{B29CD865-18B8-429B-AB94-CC5E7CEA725C}"/>
    <cellStyle name="20% - Accent2 3 4" xfId="1037" xr:uid="{00000000-0005-0000-0000-00000B010000}"/>
    <cellStyle name="20% - Accent2 3 4 2" xfId="3268" xr:uid="{00000000-0005-0000-0000-00000C010000}"/>
    <cellStyle name="20% - Accent2 3 4 2 2" xfId="7492" xr:uid="{00000000-0005-0000-0000-00000D010000}"/>
    <cellStyle name="20% - Accent2 3 4 2 2 2" xfId="15921" xr:uid="{59B4531A-7491-4F9B-A66F-C7AB7DD69882}"/>
    <cellStyle name="20% - Accent2 3 4 2 3" xfId="11703" xr:uid="{14EBA669-D60A-4456-8D5A-576F4FB8EEFC}"/>
    <cellStyle name="20% - Accent2 3 4 3" xfId="5347" xr:uid="{00000000-0005-0000-0000-00000E010000}"/>
    <cellStyle name="20% - Accent2 3 4 3 2" xfId="13776" xr:uid="{CF4A8D90-D78A-411B-9339-DC6A5249EB74}"/>
    <cellStyle name="20% - Accent2 3 4 4" xfId="9558" xr:uid="{D56096A7-14BC-45C7-B2D1-8848F1A054C2}"/>
    <cellStyle name="20% - Accent2 3 5" xfId="1451" xr:uid="{00000000-0005-0000-0000-00000F010000}"/>
    <cellStyle name="20% - Accent2 3 5 2" xfId="3681" xr:uid="{00000000-0005-0000-0000-000010010000}"/>
    <cellStyle name="20% - Accent2 3 5 2 2" xfId="7905" xr:uid="{00000000-0005-0000-0000-000011010000}"/>
    <cellStyle name="20% - Accent2 3 5 2 2 2" xfId="16334" xr:uid="{4355D7C2-8DC1-4B10-B4DD-30E095F0B3BC}"/>
    <cellStyle name="20% - Accent2 3 5 2 3" xfId="12116" xr:uid="{9588DC8A-B7E3-4FAF-AA97-1BB93EF4E5EF}"/>
    <cellStyle name="20% - Accent2 3 5 3" xfId="5760" xr:uid="{00000000-0005-0000-0000-000012010000}"/>
    <cellStyle name="20% - Accent2 3 5 3 2" xfId="14189" xr:uid="{09B1E05E-F116-49CB-8F38-82B77DCDDEE4}"/>
    <cellStyle name="20% - Accent2 3 5 4" xfId="9971" xr:uid="{AB8B59A0-F72A-4A14-A19D-5AC1EB8E743E}"/>
    <cellStyle name="20% - Accent2 3 6" xfId="1865" xr:uid="{00000000-0005-0000-0000-000013010000}"/>
    <cellStyle name="20% - Accent2 3 6 2" xfId="4094" xr:uid="{00000000-0005-0000-0000-000014010000}"/>
    <cellStyle name="20% - Accent2 3 6 2 2" xfId="8318" xr:uid="{00000000-0005-0000-0000-000015010000}"/>
    <cellStyle name="20% - Accent2 3 6 2 2 2" xfId="16747" xr:uid="{6064D070-3401-451F-B56A-1ECC0D1C361C}"/>
    <cellStyle name="20% - Accent2 3 6 2 3" xfId="12529" xr:uid="{54F8D901-2125-4964-8BBE-323E46F712AE}"/>
    <cellStyle name="20% - Accent2 3 6 3" xfId="6173" xr:uid="{00000000-0005-0000-0000-000016010000}"/>
    <cellStyle name="20% - Accent2 3 6 3 2" xfId="14602" xr:uid="{F99883E7-3167-4A78-B018-4EEF24C6910F}"/>
    <cellStyle name="20% - Accent2 3 6 4" xfId="10384" xr:uid="{C2FD55E3-1BCF-4400-B8C2-8489DBC01C93}"/>
    <cellStyle name="20% - Accent2 3 7" xfId="2278" xr:uid="{00000000-0005-0000-0000-000017010000}"/>
    <cellStyle name="20% - Accent2 3 7 2" xfId="6586" xr:uid="{00000000-0005-0000-0000-000018010000}"/>
    <cellStyle name="20% - Accent2 3 7 2 2" xfId="15015" xr:uid="{B4F99272-AF3E-4D71-B96A-FADBC859F5BE}"/>
    <cellStyle name="20% - Accent2 3 7 3" xfId="10797" xr:uid="{8EC11C9F-5019-490C-9EE7-47E1C923E8E7}"/>
    <cellStyle name="20% - Accent2 3 8" xfId="4520" xr:uid="{00000000-0005-0000-0000-000019010000}"/>
    <cellStyle name="20% - Accent2 3 8 2" xfId="12949" xr:uid="{E0A5772F-FBEA-4402-B205-640792E04F60}"/>
    <cellStyle name="20% - Accent2 3 9" xfId="8731" xr:uid="{B0FB5D6A-9440-49DA-A5AD-17634AD6B9DB}"/>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2 2" xfId="15510" xr:uid="{0C7C217E-50AE-4511-A8C1-40530FA43DF8}"/>
    <cellStyle name="20% - Accent2 4 2 2 3" xfId="11292" xr:uid="{EE9F1C9C-0AC1-4EFA-8E95-244BD24AEB3B}"/>
    <cellStyle name="20% - Accent2 4 2 3" xfId="4936" xr:uid="{00000000-0005-0000-0000-00001E010000}"/>
    <cellStyle name="20% - Accent2 4 2 3 2" xfId="13365" xr:uid="{623ABDCC-D37E-4751-9FD5-A704EE69AC06}"/>
    <cellStyle name="20% - Accent2 4 2 4" xfId="9147" xr:uid="{0C69368D-E950-44E9-A3CF-3845C47F0D20}"/>
    <cellStyle name="20% - Accent2 4 3" xfId="1039" xr:uid="{00000000-0005-0000-0000-00001F010000}"/>
    <cellStyle name="20% - Accent2 4 3 2" xfId="3270" xr:uid="{00000000-0005-0000-0000-000020010000}"/>
    <cellStyle name="20% - Accent2 4 3 2 2" xfId="7494" xr:uid="{00000000-0005-0000-0000-000021010000}"/>
    <cellStyle name="20% - Accent2 4 3 2 2 2" xfId="15923" xr:uid="{A71EA9B6-F21D-4A21-BA13-DA04666FA4DC}"/>
    <cellStyle name="20% - Accent2 4 3 2 3" xfId="11705" xr:uid="{F338B8A6-27BC-4E60-A477-6B7137FFD455}"/>
    <cellStyle name="20% - Accent2 4 3 3" xfId="5349" xr:uid="{00000000-0005-0000-0000-000022010000}"/>
    <cellStyle name="20% - Accent2 4 3 3 2" xfId="13778" xr:uid="{302E4AD5-4DC5-42F9-AA55-4103500E1DFF}"/>
    <cellStyle name="20% - Accent2 4 3 4" xfId="9560" xr:uid="{BCF8D239-C4A9-4784-9AE8-C531CDA67646}"/>
    <cellStyle name="20% - Accent2 4 4" xfId="1453" xr:uid="{00000000-0005-0000-0000-000023010000}"/>
    <cellStyle name="20% - Accent2 4 4 2" xfId="3683" xr:uid="{00000000-0005-0000-0000-000024010000}"/>
    <cellStyle name="20% - Accent2 4 4 2 2" xfId="7907" xr:uid="{00000000-0005-0000-0000-000025010000}"/>
    <cellStyle name="20% - Accent2 4 4 2 2 2" xfId="16336" xr:uid="{09F8A3C2-F1C4-4203-8526-EE7478A8E26C}"/>
    <cellStyle name="20% - Accent2 4 4 2 3" xfId="12118" xr:uid="{80AD9C04-B83A-4A01-AF36-E7C338587AE8}"/>
    <cellStyle name="20% - Accent2 4 4 3" xfId="5762" xr:uid="{00000000-0005-0000-0000-000026010000}"/>
    <cellStyle name="20% - Accent2 4 4 3 2" xfId="14191" xr:uid="{95945C5A-5C83-4E3F-989E-D5EC52C7AF59}"/>
    <cellStyle name="20% - Accent2 4 4 4" xfId="9973" xr:uid="{F1642259-24FB-49EB-B203-8209DE3BD99B}"/>
    <cellStyle name="20% - Accent2 4 5" xfId="1867" xr:uid="{00000000-0005-0000-0000-000027010000}"/>
    <cellStyle name="20% - Accent2 4 5 2" xfId="4096" xr:uid="{00000000-0005-0000-0000-000028010000}"/>
    <cellStyle name="20% - Accent2 4 5 2 2" xfId="8320" xr:uid="{00000000-0005-0000-0000-000029010000}"/>
    <cellStyle name="20% - Accent2 4 5 2 2 2" xfId="16749" xr:uid="{3725E522-35EF-49C4-A086-5ADB3F8DAFD6}"/>
    <cellStyle name="20% - Accent2 4 5 2 3" xfId="12531" xr:uid="{9BBE4C85-C6C0-45D2-AC42-8AF57BC21D7B}"/>
    <cellStyle name="20% - Accent2 4 5 3" xfId="6175" xr:uid="{00000000-0005-0000-0000-00002A010000}"/>
    <cellStyle name="20% - Accent2 4 5 3 2" xfId="14604" xr:uid="{E0288BA7-9D5E-438E-9950-0BE8DC17A337}"/>
    <cellStyle name="20% - Accent2 4 5 4" xfId="10386" xr:uid="{6E03FA79-DD82-4461-B178-CAAA51F6040D}"/>
    <cellStyle name="20% - Accent2 4 6" xfId="2280" xr:uid="{00000000-0005-0000-0000-00002B010000}"/>
    <cellStyle name="20% - Accent2 4 6 2" xfId="6588" xr:uid="{00000000-0005-0000-0000-00002C010000}"/>
    <cellStyle name="20% - Accent2 4 6 2 2" xfId="15017" xr:uid="{8D2D5CD1-2934-4CA6-8660-12FDBE6E111A}"/>
    <cellStyle name="20% - Accent2 4 6 3" xfId="10799" xr:uid="{75469809-C7B5-487E-8EAF-4792AE0A266F}"/>
    <cellStyle name="20% - Accent2 4 7" xfId="4522" xr:uid="{00000000-0005-0000-0000-00002D010000}"/>
    <cellStyle name="20% - Accent2 4 7 2" xfId="12951" xr:uid="{1174FEA4-EC13-4D71-A436-FC156FFF6622}"/>
    <cellStyle name="20% - Accent2 4 8" xfId="8733" xr:uid="{87E9C0DA-2719-47A3-AD23-8CAC8972F491}"/>
    <cellStyle name="20% - Accent2 5" xfId="579" xr:uid="{00000000-0005-0000-0000-00002E010000}"/>
    <cellStyle name="20% - Accent2 5 2" xfId="2850" xr:uid="{00000000-0005-0000-0000-00002F010000}"/>
    <cellStyle name="20% - Accent2 5 2 2" xfId="7074" xr:uid="{00000000-0005-0000-0000-000030010000}"/>
    <cellStyle name="20% - Accent2 5 2 2 2" xfId="15503" xr:uid="{7AB079C1-37B4-4EF1-B876-C1F537CCA2CB}"/>
    <cellStyle name="20% - Accent2 5 2 3" xfId="11285" xr:uid="{11701EC6-FEE9-4ABE-B969-EE836EF5C00D}"/>
    <cellStyle name="20% - Accent2 5 3" xfId="4929" xr:uid="{00000000-0005-0000-0000-000031010000}"/>
    <cellStyle name="20% - Accent2 5 3 2" xfId="13358" xr:uid="{89D644E2-FC13-458D-82A2-CDDD220D0D59}"/>
    <cellStyle name="20% - Accent2 5 4" xfId="9140" xr:uid="{C22DD426-AA38-4730-8C40-E71D4E7E1F87}"/>
    <cellStyle name="20% - Accent2 6" xfId="1032" xr:uid="{00000000-0005-0000-0000-000032010000}"/>
    <cellStyle name="20% - Accent2 6 2" xfId="3263" xr:uid="{00000000-0005-0000-0000-000033010000}"/>
    <cellStyle name="20% - Accent2 6 2 2" xfId="7487" xr:uid="{00000000-0005-0000-0000-000034010000}"/>
    <cellStyle name="20% - Accent2 6 2 2 2" xfId="15916" xr:uid="{7008741F-40AA-4D4E-AB5B-109D21CDCA56}"/>
    <cellStyle name="20% - Accent2 6 2 3" xfId="11698" xr:uid="{01699E76-9E7F-461A-91F8-38D98863AFB0}"/>
    <cellStyle name="20% - Accent2 6 3" xfId="5342" xr:uid="{00000000-0005-0000-0000-000035010000}"/>
    <cellStyle name="20% - Accent2 6 3 2" xfId="13771" xr:uid="{C1E84A64-5892-4EBB-92F4-D1EFED20E5E2}"/>
    <cellStyle name="20% - Accent2 6 4" xfId="9553" xr:uid="{E426A247-D4A0-4879-A98B-A28FA773E06A}"/>
    <cellStyle name="20% - Accent2 7" xfId="1446" xr:uid="{00000000-0005-0000-0000-000036010000}"/>
    <cellStyle name="20% - Accent2 7 2" xfId="3676" xr:uid="{00000000-0005-0000-0000-000037010000}"/>
    <cellStyle name="20% - Accent2 7 2 2" xfId="7900" xr:uid="{00000000-0005-0000-0000-000038010000}"/>
    <cellStyle name="20% - Accent2 7 2 2 2" xfId="16329" xr:uid="{B112EBA0-314C-4EC2-9268-0749C7ED8EA2}"/>
    <cellStyle name="20% - Accent2 7 2 3" xfId="12111" xr:uid="{41E29A02-ADFE-497F-90BD-70432C7952BC}"/>
    <cellStyle name="20% - Accent2 7 3" xfId="5755" xr:uid="{00000000-0005-0000-0000-000039010000}"/>
    <cellStyle name="20% - Accent2 7 3 2" xfId="14184" xr:uid="{78A81B56-0ABD-4F57-93AF-75149F5F8A4B}"/>
    <cellStyle name="20% - Accent2 7 4" xfId="9966" xr:uid="{D951F922-7947-41BC-99E6-E736078E2617}"/>
    <cellStyle name="20% - Accent2 8" xfId="1860" xr:uid="{00000000-0005-0000-0000-00003A010000}"/>
    <cellStyle name="20% - Accent2 8 2" xfId="4089" xr:uid="{00000000-0005-0000-0000-00003B010000}"/>
    <cellStyle name="20% - Accent2 8 2 2" xfId="8313" xr:uid="{00000000-0005-0000-0000-00003C010000}"/>
    <cellStyle name="20% - Accent2 8 2 2 2" xfId="16742" xr:uid="{6902FC16-04FA-429E-B40C-FB3D51A51E84}"/>
    <cellStyle name="20% - Accent2 8 2 3" xfId="12524" xr:uid="{F656AB99-B56F-4E3E-888E-238913F6CEA2}"/>
    <cellStyle name="20% - Accent2 8 3" xfId="6168" xr:uid="{00000000-0005-0000-0000-00003D010000}"/>
    <cellStyle name="20% - Accent2 8 3 2" xfId="14597" xr:uid="{5E30043E-D3A5-43E2-A37B-FEE40A85EA5E}"/>
    <cellStyle name="20% - Accent2 8 4" xfId="10379" xr:uid="{27BCF1D5-78C0-42C7-9C82-510FBBE1C87C}"/>
    <cellStyle name="20% - Accent2 9" xfId="2273" xr:uid="{00000000-0005-0000-0000-00003E010000}"/>
    <cellStyle name="20% - Accent2 9 2" xfId="6581" xr:uid="{00000000-0005-0000-0000-00003F010000}"/>
    <cellStyle name="20% - Accent2 9 2 2" xfId="15010" xr:uid="{343F49C0-5439-42DC-9C83-B381439406A1}"/>
    <cellStyle name="20% - Accent2 9 3" xfId="10792" xr:uid="{F06C28D5-1F08-4E24-A154-9C2DC270FD44}"/>
    <cellStyle name="20% - Accent3" xfId="17" builtinId="38" customBuiltin="1"/>
    <cellStyle name="20% - Accent3 10" xfId="4523" xr:uid="{00000000-0005-0000-0000-000041010000}"/>
    <cellStyle name="20% - Accent3 10 2" xfId="12952" xr:uid="{9037215A-408E-4C4C-8CBC-F910859D50DE}"/>
    <cellStyle name="20% - Accent3 11" xfId="8734" xr:uid="{076873AA-A99A-4E5D-8715-9F888D513558}"/>
    <cellStyle name="20% - Accent3 2" xfId="18" xr:uid="{00000000-0005-0000-0000-000042010000}"/>
    <cellStyle name="20% - Accent3 2 10" xfId="8735" xr:uid="{023E6CB2-76DD-4E76-AAFA-CD6A38BD5895}"/>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2 2" xfId="15514" xr:uid="{95FD3874-E152-4E89-B9A1-F7CB77088D9A}"/>
    <cellStyle name="20% - Accent3 2 2 2 2 2 3" xfId="11296" xr:uid="{96740FF7-A454-457D-B1DA-7083A7240485}"/>
    <cellStyle name="20% - Accent3 2 2 2 2 3" xfId="4940" xr:uid="{00000000-0005-0000-0000-000048010000}"/>
    <cellStyle name="20% - Accent3 2 2 2 2 3 2" xfId="13369" xr:uid="{144CB3EF-4353-4B3A-8559-EF985287395B}"/>
    <cellStyle name="20% - Accent3 2 2 2 2 4" xfId="9151" xr:uid="{F95C660E-0050-4723-84F2-514A786869C3}"/>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2 2" xfId="15927" xr:uid="{B5513C5F-AC92-40DB-AA61-E75775FCDE5E}"/>
    <cellStyle name="20% - Accent3 2 2 2 3 2 3" xfId="11709" xr:uid="{FC304A9C-BB8F-40D3-9070-95F43387CF9C}"/>
    <cellStyle name="20% - Accent3 2 2 2 3 3" xfId="5353" xr:uid="{00000000-0005-0000-0000-00004C010000}"/>
    <cellStyle name="20% - Accent3 2 2 2 3 3 2" xfId="13782" xr:uid="{442F48B6-0701-4776-8CD5-12B4C889DDAB}"/>
    <cellStyle name="20% - Accent3 2 2 2 3 4" xfId="9564" xr:uid="{F2261127-DCF0-4398-A5D0-F5B16B580762}"/>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2 2" xfId="16340" xr:uid="{444FB4E8-C177-413A-BC4C-407957DF1045}"/>
    <cellStyle name="20% - Accent3 2 2 2 4 2 3" xfId="12122" xr:uid="{70E842F3-6D10-42EA-A11E-5AB72ABFD74F}"/>
    <cellStyle name="20% - Accent3 2 2 2 4 3" xfId="5766" xr:uid="{00000000-0005-0000-0000-000050010000}"/>
    <cellStyle name="20% - Accent3 2 2 2 4 3 2" xfId="14195" xr:uid="{7868E8CA-054A-4A22-A1D0-C283C7D38F09}"/>
    <cellStyle name="20% - Accent3 2 2 2 4 4" xfId="9977" xr:uid="{DF2FAAE9-9807-45D8-91E8-FBF8A376F9B7}"/>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2 2" xfId="16753" xr:uid="{B4680E9E-B386-4A31-B573-175AA035A0AA}"/>
    <cellStyle name="20% - Accent3 2 2 2 5 2 3" xfId="12535" xr:uid="{290BD8AD-DB1B-489B-A4E9-0392DCCBEFBC}"/>
    <cellStyle name="20% - Accent3 2 2 2 5 3" xfId="6179" xr:uid="{00000000-0005-0000-0000-000054010000}"/>
    <cellStyle name="20% - Accent3 2 2 2 5 3 2" xfId="14608" xr:uid="{A13C3B6C-6A28-471F-AE14-338E20307404}"/>
    <cellStyle name="20% - Accent3 2 2 2 5 4" xfId="10390" xr:uid="{4B130279-8E7F-4B48-87F6-B5B910CC5CBB}"/>
    <cellStyle name="20% - Accent3 2 2 2 6" xfId="2284" xr:uid="{00000000-0005-0000-0000-000055010000}"/>
    <cellStyle name="20% - Accent3 2 2 2 6 2" xfId="6592" xr:uid="{00000000-0005-0000-0000-000056010000}"/>
    <cellStyle name="20% - Accent3 2 2 2 6 2 2" xfId="15021" xr:uid="{BE54EF22-57BB-4C53-A478-74885B12D1B1}"/>
    <cellStyle name="20% - Accent3 2 2 2 6 3" xfId="10803" xr:uid="{E3E6BEE9-8446-4775-A733-2CA481A40021}"/>
    <cellStyle name="20% - Accent3 2 2 2 7" xfId="4526" xr:uid="{00000000-0005-0000-0000-000057010000}"/>
    <cellStyle name="20% - Accent3 2 2 2 7 2" xfId="12955" xr:uid="{510F330A-3923-45D1-8185-D3DB29274FB6}"/>
    <cellStyle name="20% - Accent3 2 2 2 8" xfId="8737" xr:uid="{E7C674CA-850D-4697-9B62-5F2BD78D646A}"/>
    <cellStyle name="20% - Accent3 2 2 3" xfId="589" xr:uid="{00000000-0005-0000-0000-000058010000}"/>
    <cellStyle name="20% - Accent3 2 2 3 2" xfId="2860" xr:uid="{00000000-0005-0000-0000-000059010000}"/>
    <cellStyle name="20% - Accent3 2 2 3 2 2" xfId="7084" xr:uid="{00000000-0005-0000-0000-00005A010000}"/>
    <cellStyle name="20% - Accent3 2 2 3 2 2 2" xfId="15513" xr:uid="{FB565426-AC86-4CDE-8DD0-BD16E36952F3}"/>
    <cellStyle name="20% - Accent3 2 2 3 2 3" xfId="11295" xr:uid="{5C24A517-4D0E-4732-A042-DAF33F6F4AF4}"/>
    <cellStyle name="20% - Accent3 2 2 3 3" xfId="4939" xr:uid="{00000000-0005-0000-0000-00005B010000}"/>
    <cellStyle name="20% - Accent3 2 2 3 3 2" xfId="13368" xr:uid="{46644E0C-A4E7-458F-963F-892590944C07}"/>
    <cellStyle name="20% - Accent3 2 2 3 4" xfId="9150" xr:uid="{718C340D-22D5-45D8-BFF5-CE1069DDFDAE}"/>
    <cellStyle name="20% - Accent3 2 2 4" xfId="1042" xr:uid="{00000000-0005-0000-0000-00005C010000}"/>
    <cellStyle name="20% - Accent3 2 2 4 2" xfId="3273" xr:uid="{00000000-0005-0000-0000-00005D010000}"/>
    <cellStyle name="20% - Accent3 2 2 4 2 2" xfId="7497" xr:uid="{00000000-0005-0000-0000-00005E010000}"/>
    <cellStyle name="20% - Accent3 2 2 4 2 2 2" xfId="15926" xr:uid="{FB8F6744-CD86-4BF9-A72A-3D4855AFC0CE}"/>
    <cellStyle name="20% - Accent3 2 2 4 2 3" xfId="11708" xr:uid="{F0C0D63D-D63B-41EF-880E-BD3CCBFA8B0E}"/>
    <cellStyle name="20% - Accent3 2 2 4 3" xfId="5352" xr:uid="{00000000-0005-0000-0000-00005F010000}"/>
    <cellStyle name="20% - Accent3 2 2 4 3 2" xfId="13781" xr:uid="{E56D5C26-06BB-458E-A845-5C3A55552CF1}"/>
    <cellStyle name="20% - Accent3 2 2 4 4" xfId="9563" xr:uid="{54600E4C-A75E-43CA-867B-3D18CB4D6051}"/>
    <cellStyle name="20% - Accent3 2 2 5" xfId="1456" xr:uid="{00000000-0005-0000-0000-000060010000}"/>
    <cellStyle name="20% - Accent3 2 2 5 2" xfId="3686" xr:uid="{00000000-0005-0000-0000-000061010000}"/>
    <cellStyle name="20% - Accent3 2 2 5 2 2" xfId="7910" xr:uid="{00000000-0005-0000-0000-000062010000}"/>
    <cellStyle name="20% - Accent3 2 2 5 2 2 2" xfId="16339" xr:uid="{639F9297-F990-484A-8032-85F438635367}"/>
    <cellStyle name="20% - Accent3 2 2 5 2 3" xfId="12121" xr:uid="{C122BAC8-1CE5-4058-9928-F789D558002E}"/>
    <cellStyle name="20% - Accent3 2 2 5 3" xfId="5765" xr:uid="{00000000-0005-0000-0000-000063010000}"/>
    <cellStyle name="20% - Accent3 2 2 5 3 2" xfId="14194" xr:uid="{F755665F-7A57-4407-8657-B1613B01D20A}"/>
    <cellStyle name="20% - Accent3 2 2 5 4" xfId="9976" xr:uid="{A265111D-C719-4BFC-8989-CF775EBF11F8}"/>
    <cellStyle name="20% - Accent3 2 2 6" xfId="1870" xr:uid="{00000000-0005-0000-0000-000064010000}"/>
    <cellStyle name="20% - Accent3 2 2 6 2" xfId="4099" xr:uid="{00000000-0005-0000-0000-000065010000}"/>
    <cellStyle name="20% - Accent3 2 2 6 2 2" xfId="8323" xr:uid="{00000000-0005-0000-0000-000066010000}"/>
    <cellStyle name="20% - Accent3 2 2 6 2 2 2" xfId="16752" xr:uid="{1AFEF3E2-B877-41AF-9E29-F9E94B39AD63}"/>
    <cellStyle name="20% - Accent3 2 2 6 2 3" xfId="12534" xr:uid="{81D4F668-C718-4686-9915-0ED8743C5B7C}"/>
    <cellStyle name="20% - Accent3 2 2 6 3" xfId="6178" xr:uid="{00000000-0005-0000-0000-000067010000}"/>
    <cellStyle name="20% - Accent3 2 2 6 3 2" xfId="14607" xr:uid="{B34E3589-8B3E-4517-B597-3668C40050FD}"/>
    <cellStyle name="20% - Accent3 2 2 6 4" xfId="10389" xr:uid="{17F9F746-3DFF-476A-AC68-96EADCC7C078}"/>
    <cellStyle name="20% - Accent3 2 2 7" xfId="2283" xr:uid="{00000000-0005-0000-0000-000068010000}"/>
    <cellStyle name="20% - Accent3 2 2 7 2" xfId="6591" xr:uid="{00000000-0005-0000-0000-000069010000}"/>
    <cellStyle name="20% - Accent3 2 2 7 2 2" xfId="15020" xr:uid="{EE2EC8A8-E194-4D34-BE0F-B61E89C749A8}"/>
    <cellStyle name="20% - Accent3 2 2 7 3" xfId="10802" xr:uid="{4AD39814-2801-433A-9F92-F622285F5B69}"/>
    <cellStyle name="20% - Accent3 2 2 8" xfId="4525" xr:uid="{00000000-0005-0000-0000-00006A010000}"/>
    <cellStyle name="20% - Accent3 2 2 8 2" xfId="12954" xr:uid="{EB0CC7D4-A955-4420-B516-E7BCD35D5C70}"/>
    <cellStyle name="20% - Accent3 2 2 9" xfId="8736" xr:uid="{7CE5752F-31E4-48D9-BC56-E41A31ECF6A8}"/>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2 2" xfId="15515" xr:uid="{EC97FE15-1F79-44DB-A7CC-B7D7AED2596F}"/>
    <cellStyle name="20% - Accent3 2 3 2 2 3" xfId="11297" xr:uid="{63C15E4E-44EC-4C68-9DA1-2968F04E57B0}"/>
    <cellStyle name="20% - Accent3 2 3 2 3" xfId="4941" xr:uid="{00000000-0005-0000-0000-00006F010000}"/>
    <cellStyle name="20% - Accent3 2 3 2 3 2" xfId="13370" xr:uid="{3E232B70-53F1-41C7-9313-B40D744CC6C5}"/>
    <cellStyle name="20% - Accent3 2 3 2 4" xfId="9152" xr:uid="{0FD42164-3AA4-437D-BB1A-3937A6936327}"/>
    <cellStyle name="20% - Accent3 2 3 3" xfId="1044" xr:uid="{00000000-0005-0000-0000-000070010000}"/>
    <cellStyle name="20% - Accent3 2 3 3 2" xfId="3275" xr:uid="{00000000-0005-0000-0000-000071010000}"/>
    <cellStyle name="20% - Accent3 2 3 3 2 2" xfId="7499" xr:uid="{00000000-0005-0000-0000-000072010000}"/>
    <cellStyle name="20% - Accent3 2 3 3 2 2 2" xfId="15928" xr:uid="{E9E1C403-4499-4677-821D-8C0CD5654180}"/>
    <cellStyle name="20% - Accent3 2 3 3 2 3" xfId="11710" xr:uid="{06FE438D-5004-47E9-97F2-97763A84472E}"/>
    <cellStyle name="20% - Accent3 2 3 3 3" xfId="5354" xr:uid="{00000000-0005-0000-0000-000073010000}"/>
    <cellStyle name="20% - Accent3 2 3 3 3 2" xfId="13783" xr:uid="{E9CC7549-C53F-400A-8990-4A0E171E1937}"/>
    <cellStyle name="20% - Accent3 2 3 3 4" xfId="9565" xr:uid="{4FDE1F5C-783D-4B1F-A41D-0A2DF1DE232A}"/>
    <cellStyle name="20% - Accent3 2 3 4" xfId="1458" xr:uid="{00000000-0005-0000-0000-000074010000}"/>
    <cellStyle name="20% - Accent3 2 3 4 2" xfId="3688" xr:uid="{00000000-0005-0000-0000-000075010000}"/>
    <cellStyle name="20% - Accent3 2 3 4 2 2" xfId="7912" xr:uid="{00000000-0005-0000-0000-000076010000}"/>
    <cellStyle name="20% - Accent3 2 3 4 2 2 2" xfId="16341" xr:uid="{F1E86224-A7A5-4437-9CE2-ECE3B2E4451D}"/>
    <cellStyle name="20% - Accent3 2 3 4 2 3" xfId="12123" xr:uid="{7179FCCC-946C-4342-9260-C51F36227A9D}"/>
    <cellStyle name="20% - Accent3 2 3 4 3" xfId="5767" xr:uid="{00000000-0005-0000-0000-000077010000}"/>
    <cellStyle name="20% - Accent3 2 3 4 3 2" xfId="14196" xr:uid="{F49C099E-3370-408B-AADF-7BC1F6BB5F0F}"/>
    <cellStyle name="20% - Accent3 2 3 4 4" xfId="9978" xr:uid="{A5766A51-DC89-4FC1-BA9C-CD6D39963796}"/>
    <cellStyle name="20% - Accent3 2 3 5" xfId="1872" xr:uid="{00000000-0005-0000-0000-000078010000}"/>
    <cellStyle name="20% - Accent3 2 3 5 2" xfId="4101" xr:uid="{00000000-0005-0000-0000-000079010000}"/>
    <cellStyle name="20% - Accent3 2 3 5 2 2" xfId="8325" xr:uid="{00000000-0005-0000-0000-00007A010000}"/>
    <cellStyle name="20% - Accent3 2 3 5 2 2 2" xfId="16754" xr:uid="{4FA7078B-50FE-4F90-8B87-9900FD6C5034}"/>
    <cellStyle name="20% - Accent3 2 3 5 2 3" xfId="12536" xr:uid="{7BDD8684-1112-4CB3-B596-E5B81024A203}"/>
    <cellStyle name="20% - Accent3 2 3 5 3" xfId="6180" xr:uid="{00000000-0005-0000-0000-00007B010000}"/>
    <cellStyle name="20% - Accent3 2 3 5 3 2" xfId="14609" xr:uid="{3E4CEB17-9715-420F-867E-E7EA68124BC1}"/>
    <cellStyle name="20% - Accent3 2 3 5 4" xfId="10391" xr:uid="{D0DD6656-5813-48A6-98BC-82B6D2389AB9}"/>
    <cellStyle name="20% - Accent3 2 3 6" xfId="2285" xr:uid="{00000000-0005-0000-0000-00007C010000}"/>
    <cellStyle name="20% - Accent3 2 3 6 2" xfId="6593" xr:uid="{00000000-0005-0000-0000-00007D010000}"/>
    <cellStyle name="20% - Accent3 2 3 6 2 2" xfId="15022" xr:uid="{4CC80848-5EEA-4599-909F-5F6DAA852ADC}"/>
    <cellStyle name="20% - Accent3 2 3 6 3" xfId="10804" xr:uid="{1AA27E04-C3DC-45AF-AB48-786D94EADB60}"/>
    <cellStyle name="20% - Accent3 2 3 7" xfId="4527" xr:uid="{00000000-0005-0000-0000-00007E010000}"/>
    <cellStyle name="20% - Accent3 2 3 7 2" xfId="12956" xr:uid="{63318784-A592-4178-8DC9-B493E87757F2}"/>
    <cellStyle name="20% - Accent3 2 3 8" xfId="8738" xr:uid="{6A6AD054-ACD4-4FF0-8E67-CF5F2846D259}"/>
    <cellStyle name="20% - Accent3 2 4" xfId="588" xr:uid="{00000000-0005-0000-0000-00007F010000}"/>
    <cellStyle name="20% - Accent3 2 4 2" xfId="2859" xr:uid="{00000000-0005-0000-0000-000080010000}"/>
    <cellStyle name="20% - Accent3 2 4 2 2" xfId="7083" xr:uid="{00000000-0005-0000-0000-000081010000}"/>
    <cellStyle name="20% - Accent3 2 4 2 2 2" xfId="15512" xr:uid="{C6BA1380-A42B-4C1C-889E-6392E13181D9}"/>
    <cellStyle name="20% - Accent3 2 4 2 3" xfId="11294" xr:uid="{49D9CCFD-83B5-44FE-9B6D-38AF1A24CAA0}"/>
    <cellStyle name="20% - Accent3 2 4 3" xfId="4938" xr:uid="{00000000-0005-0000-0000-000082010000}"/>
    <cellStyle name="20% - Accent3 2 4 3 2" xfId="13367" xr:uid="{38D412CC-F889-4B30-9358-B7E2ABD4243E}"/>
    <cellStyle name="20% - Accent3 2 4 4" xfId="9149" xr:uid="{4D6A54F9-23C5-4670-91C9-0112B9102DC4}"/>
    <cellStyle name="20% - Accent3 2 5" xfId="1041" xr:uid="{00000000-0005-0000-0000-000083010000}"/>
    <cellStyle name="20% - Accent3 2 5 2" xfId="3272" xr:uid="{00000000-0005-0000-0000-000084010000}"/>
    <cellStyle name="20% - Accent3 2 5 2 2" xfId="7496" xr:uid="{00000000-0005-0000-0000-000085010000}"/>
    <cellStyle name="20% - Accent3 2 5 2 2 2" xfId="15925" xr:uid="{FDADCB6A-D811-4FBC-8D0C-51FC2DB8F7C9}"/>
    <cellStyle name="20% - Accent3 2 5 2 3" xfId="11707" xr:uid="{FFB2EA7F-F981-4B32-958E-546F16DB9D80}"/>
    <cellStyle name="20% - Accent3 2 5 3" xfId="5351" xr:uid="{00000000-0005-0000-0000-000086010000}"/>
    <cellStyle name="20% - Accent3 2 5 3 2" xfId="13780" xr:uid="{C5D1FDAA-93F6-4ACF-BE53-A6E306FCA9FC}"/>
    <cellStyle name="20% - Accent3 2 5 4" xfId="9562" xr:uid="{12446DB2-2314-4566-86DC-9AF52043A203}"/>
    <cellStyle name="20% - Accent3 2 6" xfId="1455" xr:uid="{00000000-0005-0000-0000-000087010000}"/>
    <cellStyle name="20% - Accent3 2 6 2" xfId="3685" xr:uid="{00000000-0005-0000-0000-000088010000}"/>
    <cellStyle name="20% - Accent3 2 6 2 2" xfId="7909" xr:uid="{00000000-0005-0000-0000-000089010000}"/>
    <cellStyle name="20% - Accent3 2 6 2 2 2" xfId="16338" xr:uid="{23CBE2B1-E761-41FD-8FBE-4B21A2F5EF01}"/>
    <cellStyle name="20% - Accent3 2 6 2 3" xfId="12120" xr:uid="{F736B87F-23AC-48A6-88B2-1742B48ED8FE}"/>
    <cellStyle name="20% - Accent3 2 6 3" xfId="5764" xr:uid="{00000000-0005-0000-0000-00008A010000}"/>
    <cellStyle name="20% - Accent3 2 6 3 2" xfId="14193" xr:uid="{005551CD-1FA3-41BB-976A-0089BEAD5C7E}"/>
    <cellStyle name="20% - Accent3 2 6 4" xfId="9975" xr:uid="{EDC718E3-4ED5-40BC-98C9-16DDDE21FE42}"/>
    <cellStyle name="20% - Accent3 2 7" xfId="1869" xr:uid="{00000000-0005-0000-0000-00008B010000}"/>
    <cellStyle name="20% - Accent3 2 7 2" xfId="4098" xr:uid="{00000000-0005-0000-0000-00008C010000}"/>
    <cellStyle name="20% - Accent3 2 7 2 2" xfId="8322" xr:uid="{00000000-0005-0000-0000-00008D010000}"/>
    <cellStyle name="20% - Accent3 2 7 2 2 2" xfId="16751" xr:uid="{46C51D5F-831E-4585-BF8A-F5E0BE5C1076}"/>
    <cellStyle name="20% - Accent3 2 7 2 3" xfId="12533" xr:uid="{84971559-7A48-4EE8-9688-5E60D824C246}"/>
    <cellStyle name="20% - Accent3 2 7 3" xfId="6177" xr:uid="{00000000-0005-0000-0000-00008E010000}"/>
    <cellStyle name="20% - Accent3 2 7 3 2" xfId="14606" xr:uid="{25CBFEBC-E6AE-4EFF-A8DA-B85BACA8F390}"/>
    <cellStyle name="20% - Accent3 2 7 4" xfId="10388" xr:uid="{8B2666EE-82D0-40AF-912A-67DF9282D9A4}"/>
    <cellStyle name="20% - Accent3 2 8" xfId="2282" xr:uid="{00000000-0005-0000-0000-00008F010000}"/>
    <cellStyle name="20% - Accent3 2 8 2" xfId="6590" xr:uid="{00000000-0005-0000-0000-000090010000}"/>
    <cellStyle name="20% - Accent3 2 8 2 2" xfId="15019" xr:uid="{2C508DD1-5675-4D1F-A48F-D49A16A47CD2}"/>
    <cellStyle name="20% - Accent3 2 8 3" xfId="10801" xr:uid="{A840DC50-481F-409A-A48D-B7A315307C4E}"/>
    <cellStyle name="20% - Accent3 2 9" xfId="4524" xr:uid="{00000000-0005-0000-0000-000091010000}"/>
    <cellStyle name="20% - Accent3 2 9 2" xfId="12953" xr:uid="{8BA0C9D4-DB16-4881-8A5D-CD4BDAAD9922}"/>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2 2" xfId="15517" xr:uid="{C224BE9E-C0D7-4837-AA60-C6B2DDEF95C6}"/>
    <cellStyle name="20% - Accent3 3 2 2 2 3" xfId="11299" xr:uid="{BD625E4F-5D5B-4584-9001-F12018FA70D8}"/>
    <cellStyle name="20% - Accent3 3 2 2 3" xfId="4943" xr:uid="{00000000-0005-0000-0000-000097010000}"/>
    <cellStyle name="20% - Accent3 3 2 2 3 2" xfId="13372" xr:uid="{ABB585F1-6322-4465-A6BB-B0F430009F7C}"/>
    <cellStyle name="20% - Accent3 3 2 2 4" xfId="9154" xr:uid="{ABF0FEB8-0C4A-40C8-82D3-2968C1C27FB5}"/>
    <cellStyle name="20% - Accent3 3 2 3" xfId="1046" xr:uid="{00000000-0005-0000-0000-000098010000}"/>
    <cellStyle name="20% - Accent3 3 2 3 2" xfId="3277" xr:uid="{00000000-0005-0000-0000-000099010000}"/>
    <cellStyle name="20% - Accent3 3 2 3 2 2" xfId="7501" xr:uid="{00000000-0005-0000-0000-00009A010000}"/>
    <cellStyle name="20% - Accent3 3 2 3 2 2 2" xfId="15930" xr:uid="{2F59CFE1-88F8-43F8-9EC1-71209E7F29B7}"/>
    <cellStyle name="20% - Accent3 3 2 3 2 3" xfId="11712" xr:uid="{8CF4242A-98DC-43E3-8EF7-86D8619D41D9}"/>
    <cellStyle name="20% - Accent3 3 2 3 3" xfId="5356" xr:uid="{00000000-0005-0000-0000-00009B010000}"/>
    <cellStyle name="20% - Accent3 3 2 3 3 2" xfId="13785" xr:uid="{F4744C37-CA74-4E44-A9DB-436154A5A460}"/>
    <cellStyle name="20% - Accent3 3 2 3 4" xfId="9567" xr:uid="{50847D1B-7D3B-4BDD-BBF8-0C06CE2DC694}"/>
    <cellStyle name="20% - Accent3 3 2 4" xfId="1460" xr:uid="{00000000-0005-0000-0000-00009C010000}"/>
    <cellStyle name="20% - Accent3 3 2 4 2" xfId="3690" xr:uid="{00000000-0005-0000-0000-00009D010000}"/>
    <cellStyle name="20% - Accent3 3 2 4 2 2" xfId="7914" xr:uid="{00000000-0005-0000-0000-00009E010000}"/>
    <cellStyle name="20% - Accent3 3 2 4 2 2 2" xfId="16343" xr:uid="{07E5B233-CD66-45CE-B2FC-FFF6FD2481D6}"/>
    <cellStyle name="20% - Accent3 3 2 4 2 3" xfId="12125" xr:uid="{F81BB5DD-DB4D-4E7C-9A45-88EE98FCDE9C}"/>
    <cellStyle name="20% - Accent3 3 2 4 3" xfId="5769" xr:uid="{00000000-0005-0000-0000-00009F010000}"/>
    <cellStyle name="20% - Accent3 3 2 4 3 2" xfId="14198" xr:uid="{0AC4C2E5-9CFF-4379-B8F0-06E350C3DA99}"/>
    <cellStyle name="20% - Accent3 3 2 4 4" xfId="9980" xr:uid="{8A2CE6D9-A187-4F52-B641-30CC66D36B39}"/>
    <cellStyle name="20% - Accent3 3 2 5" xfId="1874" xr:uid="{00000000-0005-0000-0000-0000A0010000}"/>
    <cellStyle name="20% - Accent3 3 2 5 2" xfId="4103" xr:uid="{00000000-0005-0000-0000-0000A1010000}"/>
    <cellStyle name="20% - Accent3 3 2 5 2 2" xfId="8327" xr:uid="{00000000-0005-0000-0000-0000A2010000}"/>
    <cellStyle name="20% - Accent3 3 2 5 2 2 2" xfId="16756" xr:uid="{333C08AA-D919-4343-94C3-139BF3799CBE}"/>
    <cellStyle name="20% - Accent3 3 2 5 2 3" xfId="12538" xr:uid="{D4507402-F996-40C6-A489-B51E1913C73E}"/>
    <cellStyle name="20% - Accent3 3 2 5 3" xfId="6182" xr:uid="{00000000-0005-0000-0000-0000A3010000}"/>
    <cellStyle name="20% - Accent3 3 2 5 3 2" xfId="14611" xr:uid="{0CF9E823-B135-4683-B0E9-16EA178A6849}"/>
    <cellStyle name="20% - Accent3 3 2 5 4" xfId="10393" xr:uid="{A66BC46D-459F-4EAE-853D-F25B0811BE20}"/>
    <cellStyle name="20% - Accent3 3 2 6" xfId="2287" xr:uid="{00000000-0005-0000-0000-0000A4010000}"/>
    <cellStyle name="20% - Accent3 3 2 6 2" xfId="6595" xr:uid="{00000000-0005-0000-0000-0000A5010000}"/>
    <cellStyle name="20% - Accent3 3 2 6 2 2" xfId="15024" xr:uid="{9EE2757C-A3B9-411D-B741-0E88F4F7F323}"/>
    <cellStyle name="20% - Accent3 3 2 6 3" xfId="10806" xr:uid="{4ECD1E94-FA39-4CD7-9C70-06959A39341B}"/>
    <cellStyle name="20% - Accent3 3 2 7" xfId="4529" xr:uid="{00000000-0005-0000-0000-0000A6010000}"/>
    <cellStyle name="20% - Accent3 3 2 7 2" xfId="12958" xr:uid="{C6D23CB8-A30C-4190-B2A7-1F92BB3E4EF1}"/>
    <cellStyle name="20% - Accent3 3 2 8" xfId="8740" xr:uid="{D2F95008-3E9A-4E2B-91A7-FA6B04117B72}"/>
    <cellStyle name="20% - Accent3 3 3" xfId="592" xr:uid="{00000000-0005-0000-0000-0000A7010000}"/>
    <cellStyle name="20% - Accent3 3 3 2" xfId="2863" xr:uid="{00000000-0005-0000-0000-0000A8010000}"/>
    <cellStyle name="20% - Accent3 3 3 2 2" xfId="7087" xr:uid="{00000000-0005-0000-0000-0000A9010000}"/>
    <cellStyle name="20% - Accent3 3 3 2 2 2" xfId="15516" xr:uid="{B1003627-EE49-4D0D-A61B-919115C61986}"/>
    <cellStyle name="20% - Accent3 3 3 2 3" xfId="11298" xr:uid="{125BF92B-BF95-46F5-B421-C7879DFC5C26}"/>
    <cellStyle name="20% - Accent3 3 3 3" xfId="4942" xr:uid="{00000000-0005-0000-0000-0000AA010000}"/>
    <cellStyle name="20% - Accent3 3 3 3 2" xfId="13371" xr:uid="{199256F8-FCF5-4C1E-91F7-E9D3C832D920}"/>
    <cellStyle name="20% - Accent3 3 3 4" xfId="9153" xr:uid="{F218F16F-442C-416A-8D2F-5FB59214977C}"/>
    <cellStyle name="20% - Accent3 3 4" xfId="1045" xr:uid="{00000000-0005-0000-0000-0000AB010000}"/>
    <cellStyle name="20% - Accent3 3 4 2" xfId="3276" xr:uid="{00000000-0005-0000-0000-0000AC010000}"/>
    <cellStyle name="20% - Accent3 3 4 2 2" xfId="7500" xr:uid="{00000000-0005-0000-0000-0000AD010000}"/>
    <cellStyle name="20% - Accent3 3 4 2 2 2" xfId="15929" xr:uid="{CAA2E6A0-1CE2-495F-B3D2-E418FA8BC63B}"/>
    <cellStyle name="20% - Accent3 3 4 2 3" xfId="11711" xr:uid="{2646D537-D472-49B1-83EE-D2C84CAE8A22}"/>
    <cellStyle name="20% - Accent3 3 4 3" xfId="5355" xr:uid="{00000000-0005-0000-0000-0000AE010000}"/>
    <cellStyle name="20% - Accent3 3 4 3 2" xfId="13784" xr:uid="{C49FE60C-F856-4955-9723-40EC1A1C2873}"/>
    <cellStyle name="20% - Accent3 3 4 4" xfId="9566" xr:uid="{78161DE6-802D-4CE8-B50B-74B48F26FD46}"/>
    <cellStyle name="20% - Accent3 3 5" xfId="1459" xr:uid="{00000000-0005-0000-0000-0000AF010000}"/>
    <cellStyle name="20% - Accent3 3 5 2" xfId="3689" xr:uid="{00000000-0005-0000-0000-0000B0010000}"/>
    <cellStyle name="20% - Accent3 3 5 2 2" xfId="7913" xr:uid="{00000000-0005-0000-0000-0000B1010000}"/>
    <cellStyle name="20% - Accent3 3 5 2 2 2" xfId="16342" xr:uid="{064F3301-CA85-47F9-B688-35925AAF4ED8}"/>
    <cellStyle name="20% - Accent3 3 5 2 3" xfId="12124" xr:uid="{62B80FE4-A5A6-494C-974E-B2B3F3E3B11B}"/>
    <cellStyle name="20% - Accent3 3 5 3" xfId="5768" xr:uid="{00000000-0005-0000-0000-0000B2010000}"/>
    <cellStyle name="20% - Accent3 3 5 3 2" xfId="14197" xr:uid="{2F9C31BD-529B-4808-ADE2-8A7ECD2A69F3}"/>
    <cellStyle name="20% - Accent3 3 5 4" xfId="9979" xr:uid="{75F51351-FCF5-4D00-9B48-18AA839B5148}"/>
    <cellStyle name="20% - Accent3 3 6" xfId="1873" xr:uid="{00000000-0005-0000-0000-0000B3010000}"/>
    <cellStyle name="20% - Accent3 3 6 2" xfId="4102" xr:uid="{00000000-0005-0000-0000-0000B4010000}"/>
    <cellStyle name="20% - Accent3 3 6 2 2" xfId="8326" xr:uid="{00000000-0005-0000-0000-0000B5010000}"/>
    <cellStyle name="20% - Accent3 3 6 2 2 2" xfId="16755" xr:uid="{80DBCF1C-C405-410A-B578-F263DABD1FB6}"/>
    <cellStyle name="20% - Accent3 3 6 2 3" xfId="12537" xr:uid="{3BA8D5D0-BB9B-4DD1-8ABA-77DB2C5B51DA}"/>
    <cellStyle name="20% - Accent3 3 6 3" xfId="6181" xr:uid="{00000000-0005-0000-0000-0000B6010000}"/>
    <cellStyle name="20% - Accent3 3 6 3 2" xfId="14610" xr:uid="{AAD795DE-793C-4E79-A7F0-EC1C88B042CB}"/>
    <cellStyle name="20% - Accent3 3 6 4" xfId="10392" xr:uid="{0589ABEE-918D-4345-9CE9-671DF545B7E3}"/>
    <cellStyle name="20% - Accent3 3 7" xfId="2286" xr:uid="{00000000-0005-0000-0000-0000B7010000}"/>
    <cellStyle name="20% - Accent3 3 7 2" xfId="6594" xr:uid="{00000000-0005-0000-0000-0000B8010000}"/>
    <cellStyle name="20% - Accent3 3 7 2 2" xfId="15023" xr:uid="{90E2B1B8-3AE2-4E53-AC7F-9AB2AD11786A}"/>
    <cellStyle name="20% - Accent3 3 7 3" xfId="10805" xr:uid="{648B50FF-EE0B-47B3-9C08-12FC211A8083}"/>
    <cellStyle name="20% - Accent3 3 8" xfId="4528" xr:uid="{00000000-0005-0000-0000-0000B9010000}"/>
    <cellStyle name="20% - Accent3 3 8 2" xfId="12957" xr:uid="{37360C4D-ECBF-49E3-8534-83DEF08C76ED}"/>
    <cellStyle name="20% - Accent3 3 9" xfId="8739" xr:uid="{7083124F-FE71-4BE5-96D8-40A18BFBE7B1}"/>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2 2" xfId="15518" xr:uid="{A3804996-1B36-4F6B-9D60-222B4367FA14}"/>
    <cellStyle name="20% - Accent3 4 2 2 3" xfId="11300" xr:uid="{311A5414-C80E-4DB5-BE90-0174BFB06EAA}"/>
    <cellStyle name="20% - Accent3 4 2 3" xfId="4944" xr:uid="{00000000-0005-0000-0000-0000BE010000}"/>
    <cellStyle name="20% - Accent3 4 2 3 2" xfId="13373" xr:uid="{377C6298-3AE5-44A3-9078-A09E055C6E31}"/>
    <cellStyle name="20% - Accent3 4 2 4" xfId="9155" xr:uid="{D397F612-BCB8-4A8E-A2B2-C3012FFE65DC}"/>
    <cellStyle name="20% - Accent3 4 3" xfId="1047" xr:uid="{00000000-0005-0000-0000-0000BF010000}"/>
    <cellStyle name="20% - Accent3 4 3 2" xfId="3278" xr:uid="{00000000-0005-0000-0000-0000C0010000}"/>
    <cellStyle name="20% - Accent3 4 3 2 2" xfId="7502" xr:uid="{00000000-0005-0000-0000-0000C1010000}"/>
    <cellStyle name="20% - Accent3 4 3 2 2 2" xfId="15931" xr:uid="{9B288598-EDCB-4F8F-9820-EC8DB452CCFE}"/>
    <cellStyle name="20% - Accent3 4 3 2 3" xfId="11713" xr:uid="{445A8BB1-79B8-4543-BA29-07F9B3073217}"/>
    <cellStyle name="20% - Accent3 4 3 3" xfId="5357" xr:uid="{00000000-0005-0000-0000-0000C2010000}"/>
    <cellStyle name="20% - Accent3 4 3 3 2" xfId="13786" xr:uid="{9BC82015-820E-4E73-86C6-C86508CD58A4}"/>
    <cellStyle name="20% - Accent3 4 3 4" xfId="9568" xr:uid="{524EEC66-FF0A-425E-9AC9-B7E4F50CBCEC}"/>
    <cellStyle name="20% - Accent3 4 4" xfId="1461" xr:uid="{00000000-0005-0000-0000-0000C3010000}"/>
    <cellStyle name="20% - Accent3 4 4 2" xfId="3691" xr:uid="{00000000-0005-0000-0000-0000C4010000}"/>
    <cellStyle name="20% - Accent3 4 4 2 2" xfId="7915" xr:uid="{00000000-0005-0000-0000-0000C5010000}"/>
    <cellStyle name="20% - Accent3 4 4 2 2 2" xfId="16344" xr:uid="{FEECC625-C2D4-48DB-83AB-420C27138F72}"/>
    <cellStyle name="20% - Accent3 4 4 2 3" xfId="12126" xr:uid="{9FC3ACC1-2568-4FEA-A0B3-56B1E157397E}"/>
    <cellStyle name="20% - Accent3 4 4 3" xfId="5770" xr:uid="{00000000-0005-0000-0000-0000C6010000}"/>
    <cellStyle name="20% - Accent3 4 4 3 2" xfId="14199" xr:uid="{8A69D438-99E1-45C7-A2C8-3AD6C6504574}"/>
    <cellStyle name="20% - Accent3 4 4 4" xfId="9981" xr:uid="{D4CFF0CD-2FF4-4209-B986-663E16796299}"/>
    <cellStyle name="20% - Accent3 4 5" xfId="1875" xr:uid="{00000000-0005-0000-0000-0000C7010000}"/>
    <cellStyle name="20% - Accent3 4 5 2" xfId="4104" xr:uid="{00000000-0005-0000-0000-0000C8010000}"/>
    <cellStyle name="20% - Accent3 4 5 2 2" xfId="8328" xr:uid="{00000000-0005-0000-0000-0000C9010000}"/>
    <cellStyle name="20% - Accent3 4 5 2 2 2" xfId="16757" xr:uid="{C623F9EB-9414-4CE8-AC0D-192B29FDCBA5}"/>
    <cellStyle name="20% - Accent3 4 5 2 3" xfId="12539" xr:uid="{3328DAB4-BB38-4572-82EF-1DCC1DCDBDB3}"/>
    <cellStyle name="20% - Accent3 4 5 3" xfId="6183" xr:uid="{00000000-0005-0000-0000-0000CA010000}"/>
    <cellStyle name="20% - Accent3 4 5 3 2" xfId="14612" xr:uid="{5BB8CF0E-C9E0-4B28-BBFF-DB5AA40B77E6}"/>
    <cellStyle name="20% - Accent3 4 5 4" xfId="10394" xr:uid="{CF32D2B8-491F-4913-BABE-5D85DEEDE655}"/>
    <cellStyle name="20% - Accent3 4 6" xfId="2288" xr:uid="{00000000-0005-0000-0000-0000CB010000}"/>
    <cellStyle name="20% - Accent3 4 6 2" xfId="6596" xr:uid="{00000000-0005-0000-0000-0000CC010000}"/>
    <cellStyle name="20% - Accent3 4 6 2 2" xfId="15025" xr:uid="{252FF188-EFFA-4A8D-ACB9-C08B7168C175}"/>
    <cellStyle name="20% - Accent3 4 6 3" xfId="10807" xr:uid="{8CC5BE48-7C75-4E1B-95AD-17C36CCA55A1}"/>
    <cellStyle name="20% - Accent3 4 7" xfId="4530" xr:uid="{00000000-0005-0000-0000-0000CD010000}"/>
    <cellStyle name="20% - Accent3 4 7 2" xfId="12959" xr:uid="{321147F5-A006-483F-A17B-11F6D03919A2}"/>
    <cellStyle name="20% - Accent3 4 8" xfId="8741" xr:uid="{F4AC9603-0E63-4BE5-B6A6-861360D707C3}"/>
    <cellStyle name="20% - Accent3 5" xfId="587" xr:uid="{00000000-0005-0000-0000-0000CE010000}"/>
    <cellStyle name="20% - Accent3 5 2" xfId="2858" xr:uid="{00000000-0005-0000-0000-0000CF010000}"/>
    <cellStyle name="20% - Accent3 5 2 2" xfId="7082" xr:uid="{00000000-0005-0000-0000-0000D0010000}"/>
    <cellStyle name="20% - Accent3 5 2 2 2" xfId="15511" xr:uid="{52C51785-BE9B-41E7-ABE0-F9AA29A61D02}"/>
    <cellStyle name="20% - Accent3 5 2 3" xfId="11293" xr:uid="{DC496436-BF00-4AF6-8B7B-CCE10E0E6554}"/>
    <cellStyle name="20% - Accent3 5 3" xfId="4937" xr:uid="{00000000-0005-0000-0000-0000D1010000}"/>
    <cellStyle name="20% - Accent3 5 3 2" xfId="13366" xr:uid="{2E4B609C-F279-4417-B050-ABC7BFF1631B}"/>
    <cellStyle name="20% - Accent3 5 4" xfId="9148" xr:uid="{33F3806F-2E12-47A8-84E0-DF5B300D1A1E}"/>
    <cellStyle name="20% - Accent3 6" xfId="1040" xr:uid="{00000000-0005-0000-0000-0000D2010000}"/>
    <cellStyle name="20% - Accent3 6 2" xfId="3271" xr:uid="{00000000-0005-0000-0000-0000D3010000}"/>
    <cellStyle name="20% - Accent3 6 2 2" xfId="7495" xr:uid="{00000000-0005-0000-0000-0000D4010000}"/>
    <cellStyle name="20% - Accent3 6 2 2 2" xfId="15924" xr:uid="{DE79CBA7-9074-4FE2-8BFF-C343B3BEF243}"/>
    <cellStyle name="20% - Accent3 6 2 3" xfId="11706" xr:uid="{70F4254F-0775-4F4B-8F6F-8A34E9B2851F}"/>
    <cellStyle name="20% - Accent3 6 3" xfId="5350" xr:uid="{00000000-0005-0000-0000-0000D5010000}"/>
    <cellStyle name="20% - Accent3 6 3 2" xfId="13779" xr:uid="{BF810DA1-4955-4694-9C00-FFDEC13EAE87}"/>
    <cellStyle name="20% - Accent3 6 4" xfId="9561" xr:uid="{9C7C6F2F-92C2-42C1-B704-AB1D64DA6608}"/>
    <cellStyle name="20% - Accent3 7" xfId="1454" xr:uid="{00000000-0005-0000-0000-0000D6010000}"/>
    <cellStyle name="20% - Accent3 7 2" xfId="3684" xr:uid="{00000000-0005-0000-0000-0000D7010000}"/>
    <cellStyle name="20% - Accent3 7 2 2" xfId="7908" xr:uid="{00000000-0005-0000-0000-0000D8010000}"/>
    <cellStyle name="20% - Accent3 7 2 2 2" xfId="16337" xr:uid="{36BFD458-20FB-4538-A46E-803ED294E6A6}"/>
    <cellStyle name="20% - Accent3 7 2 3" xfId="12119" xr:uid="{37CC17EF-10E6-4587-B557-CCE1E0163A18}"/>
    <cellStyle name="20% - Accent3 7 3" xfId="5763" xr:uid="{00000000-0005-0000-0000-0000D9010000}"/>
    <cellStyle name="20% - Accent3 7 3 2" xfId="14192" xr:uid="{CA7DF71D-2580-488C-BDC8-F1031C37C159}"/>
    <cellStyle name="20% - Accent3 7 4" xfId="9974" xr:uid="{B221B98A-DE66-4CAF-B13B-DD4F7C95E3D9}"/>
    <cellStyle name="20% - Accent3 8" xfId="1868" xr:uid="{00000000-0005-0000-0000-0000DA010000}"/>
    <cellStyle name="20% - Accent3 8 2" xfId="4097" xr:uid="{00000000-0005-0000-0000-0000DB010000}"/>
    <cellStyle name="20% - Accent3 8 2 2" xfId="8321" xr:uid="{00000000-0005-0000-0000-0000DC010000}"/>
    <cellStyle name="20% - Accent3 8 2 2 2" xfId="16750" xr:uid="{D3B709C8-3F60-4495-8B84-9DE4818A60C4}"/>
    <cellStyle name="20% - Accent3 8 2 3" xfId="12532" xr:uid="{5CAC7386-2394-40D8-AC02-83622529BF0E}"/>
    <cellStyle name="20% - Accent3 8 3" xfId="6176" xr:uid="{00000000-0005-0000-0000-0000DD010000}"/>
    <cellStyle name="20% - Accent3 8 3 2" xfId="14605" xr:uid="{9F44DAC1-D2E5-4F0D-943A-C93D610901A4}"/>
    <cellStyle name="20% - Accent3 8 4" xfId="10387" xr:uid="{08DDA0ED-A062-46BA-91D1-64D11B5B9717}"/>
    <cellStyle name="20% - Accent3 9" xfId="2281" xr:uid="{00000000-0005-0000-0000-0000DE010000}"/>
    <cellStyle name="20% - Accent3 9 2" xfId="6589" xr:uid="{00000000-0005-0000-0000-0000DF010000}"/>
    <cellStyle name="20% - Accent3 9 2 2" xfId="15018" xr:uid="{DA8CC332-C738-45DD-A299-587C00BB0830}"/>
    <cellStyle name="20% - Accent3 9 3" xfId="10800" xr:uid="{F7B61989-3C9C-4028-8AA7-81DB31F583CD}"/>
    <cellStyle name="20% - Accent4" xfId="25" builtinId="42" customBuiltin="1"/>
    <cellStyle name="20% - Accent4 10" xfId="4531" xr:uid="{00000000-0005-0000-0000-0000E1010000}"/>
    <cellStyle name="20% - Accent4 10 2" xfId="12960" xr:uid="{15F793D4-90BF-46A7-BDD7-18B5BE7D0FC7}"/>
    <cellStyle name="20% - Accent4 11" xfId="8742" xr:uid="{2F86E7ED-9653-47D0-96FB-044F4F005427}"/>
    <cellStyle name="20% - Accent4 2" xfId="26" xr:uid="{00000000-0005-0000-0000-0000E2010000}"/>
    <cellStyle name="20% - Accent4 2 10" xfId="8743" xr:uid="{22F3CBF7-D76A-420B-AD50-EE1D5223D52C}"/>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2 2" xfId="15522" xr:uid="{B64D115F-4909-4730-B737-0B21EA172000}"/>
    <cellStyle name="20% - Accent4 2 2 2 2 2 3" xfId="11304" xr:uid="{64DA39C0-1427-4978-B89C-67B9445FAEE5}"/>
    <cellStyle name="20% - Accent4 2 2 2 2 3" xfId="4948" xr:uid="{00000000-0005-0000-0000-0000E8010000}"/>
    <cellStyle name="20% - Accent4 2 2 2 2 3 2" xfId="13377" xr:uid="{DA212AF8-15D1-4ED5-95A3-230B930C6BFA}"/>
    <cellStyle name="20% - Accent4 2 2 2 2 4" xfId="9159" xr:uid="{CE2889D1-30CA-4859-A4A1-1ED74621E88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2 2" xfId="15935" xr:uid="{87A4A2BC-A582-433A-A570-7D3607847916}"/>
    <cellStyle name="20% - Accent4 2 2 2 3 2 3" xfId="11717" xr:uid="{4480A21A-57BE-4B44-86F4-8F3A13229870}"/>
    <cellStyle name="20% - Accent4 2 2 2 3 3" xfId="5361" xr:uid="{00000000-0005-0000-0000-0000EC010000}"/>
    <cellStyle name="20% - Accent4 2 2 2 3 3 2" xfId="13790" xr:uid="{D583C1B4-9514-496C-86DB-0CCA767DB6FD}"/>
    <cellStyle name="20% - Accent4 2 2 2 3 4" xfId="9572" xr:uid="{46898741-A711-4DAD-A0E2-8F65B9221E98}"/>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2 2" xfId="16348" xr:uid="{4D100220-85F5-4EF6-AC53-C7D1BC0E06EF}"/>
    <cellStyle name="20% - Accent4 2 2 2 4 2 3" xfId="12130" xr:uid="{867EAFDA-0371-4F9D-91B5-3081488D7EC2}"/>
    <cellStyle name="20% - Accent4 2 2 2 4 3" xfId="5774" xr:uid="{00000000-0005-0000-0000-0000F0010000}"/>
    <cellStyle name="20% - Accent4 2 2 2 4 3 2" xfId="14203" xr:uid="{7CA61122-F3DD-4CCE-ADCE-91E525E6342A}"/>
    <cellStyle name="20% - Accent4 2 2 2 4 4" xfId="9985" xr:uid="{04881E96-2359-4A14-86A5-1F86E3D6204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2 2" xfId="16761" xr:uid="{EEA340DA-24B3-40FB-94F1-A830EEBC982B}"/>
    <cellStyle name="20% - Accent4 2 2 2 5 2 3" xfId="12543" xr:uid="{6E07F028-D6B5-4D9E-84C8-07074B4266F5}"/>
    <cellStyle name="20% - Accent4 2 2 2 5 3" xfId="6187" xr:uid="{00000000-0005-0000-0000-0000F4010000}"/>
    <cellStyle name="20% - Accent4 2 2 2 5 3 2" xfId="14616" xr:uid="{FFDBACF3-BAA0-4808-8D33-9F744652EC72}"/>
    <cellStyle name="20% - Accent4 2 2 2 5 4" xfId="10398" xr:uid="{8437B496-6471-4CE5-AE8F-127030C54362}"/>
    <cellStyle name="20% - Accent4 2 2 2 6" xfId="2292" xr:uid="{00000000-0005-0000-0000-0000F5010000}"/>
    <cellStyle name="20% - Accent4 2 2 2 6 2" xfId="6600" xr:uid="{00000000-0005-0000-0000-0000F6010000}"/>
    <cellStyle name="20% - Accent4 2 2 2 6 2 2" xfId="15029" xr:uid="{9B7B3424-2AEE-4958-99E1-DF0418BAECD8}"/>
    <cellStyle name="20% - Accent4 2 2 2 6 3" xfId="10811" xr:uid="{4EFF9650-D444-4A1F-945D-A281B7BCA515}"/>
    <cellStyle name="20% - Accent4 2 2 2 7" xfId="4534" xr:uid="{00000000-0005-0000-0000-0000F7010000}"/>
    <cellStyle name="20% - Accent4 2 2 2 7 2" xfId="12963" xr:uid="{A0A78B95-1C29-4488-B1F8-F55CF12C97DC}"/>
    <cellStyle name="20% - Accent4 2 2 2 8" xfId="8745" xr:uid="{5FBC4D2E-9A98-4C8A-8BF6-266AA8270747}"/>
    <cellStyle name="20% - Accent4 2 2 3" xfId="597" xr:uid="{00000000-0005-0000-0000-0000F8010000}"/>
    <cellStyle name="20% - Accent4 2 2 3 2" xfId="2868" xr:uid="{00000000-0005-0000-0000-0000F9010000}"/>
    <cellStyle name="20% - Accent4 2 2 3 2 2" xfId="7092" xr:uid="{00000000-0005-0000-0000-0000FA010000}"/>
    <cellStyle name="20% - Accent4 2 2 3 2 2 2" xfId="15521" xr:uid="{6145AC1F-23B8-4ADB-B2B2-33861C553B09}"/>
    <cellStyle name="20% - Accent4 2 2 3 2 3" xfId="11303" xr:uid="{726158E0-FC14-470B-9DB5-12A2B0C3A0D1}"/>
    <cellStyle name="20% - Accent4 2 2 3 3" xfId="4947" xr:uid="{00000000-0005-0000-0000-0000FB010000}"/>
    <cellStyle name="20% - Accent4 2 2 3 3 2" xfId="13376" xr:uid="{4A152B3E-2077-404C-B455-EE1B003A2BB8}"/>
    <cellStyle name="20% - Accent4 2 2 3 4" xfId="9158" xr:uid="{8C5D6458-41DF-444A-A258-6E96A4D156C3}"/>
    <cellStyle name="20% - Accent4 2 2 4" xfId="1050" xr:uid="{00000000-0005-0000-0000-0000FC010000}"/>
    <cellStyle name="20% - Accent4 2 2 4 2" xfId="3281" xr:uid="{00000000-0005-0000-0000-0000FD010000}"/>
    <cellStyle name="20% - Accent4 2 2 4 2 2" xfId="7505" xr:uid="{00000000-0005-0000-0000-0000FE010000}"/>
    <cellStyle name="20% - Accent4 2 2 4 2 2 2" xfId="15934" xr:uid="{D6056263-D6E4-4810-833E-6CF189C1BA29}"/>
    <cellStyle name="20% - Accent4 2 2 4 2 3" xfId="11716" xr:uid="{1951343F-E0BE-4CF5-A06C-AD148297B8BF}"/>
    <cellStyle name="20% - Accent4 2 2 4 3" xfId="5360" xr:uid="{00000000-0005-0000-0000-0000FF010000}"/>
    <cellStyle name="20% - Accent4 2 2 4 3 2" xfId="13789" xr:uid="{597B3608-2BDD-4D78-96A2-04019C5BE37A}"/>
    <cellStyle name="20% - Accent4 2 2 4 4" xfId="9571" xr:uid="{CA9218FB-F446-4601-B063-A0B2BA286C05}"/>
    <cellStyle name="20% - Accent4 2 2 5" xfId="1464" xr:uid="{00000000-0005-0000-0000-000000020000}"/>
    <cellStyle name="20% - Accent4 2 2 5 2" xfId="3694" xr:uid="{00000000-0005-0000-0000-000001020000}"/>
    <cellStyle name="20% - Accent4 2 2 5 2 2" xfId="7918" xr:uid="{00000000-0005-0000-0000-000002020000}"/>
    <cellStyle name="20% - Accent4 2 2 5 2 2 2" xfId="16347" xr:uid="{7D24FCA3-D4C4-41B8-B33F-9190EF461A52}"/>
    <cellStyle name="20% - Accent4 2 2 5 2 3" xfId="12129" xr:uid="{139DD5EE-EA11-4D0A-B9F5-AAECFE0790D7}"/>
    <cellStyle name="20% - Accent4 2 2 5 3" xfId="5773" xr:uid="{00000000-0005-0000-0000-000003020000}"/>
    <cellStyle name="20% - Accent4 2 2 5 3 2" xfId="14202" xr:uid="{6AE67627-26DB-438A-BE19-70B08E4EAC24}"/>
    <cellStyle name="20% - Accent4 2 2 5 4" xfId="9984" xr:uid="{E3A17384-0952-4FE9-AE75-2D81EC493A7C}"/>
    <cellStyle name="20% - Accent4 2 2 6" xfId="1878" xr:uid="{00000000-0005-0000-0000-000004020000}"/>
    <cellStyle name="20% - Accent4 2 2 6 2" xfId="4107" xr:uid="{00000000-0005-0000-0000-000005020000}"/>
    <cellStyle name="20% - Accent4 2 2 6 2 2" xfId="8331" xr:uid="{00000000-0005-0000-0000-000006020000}"/>
    <cellStyle name="20% - Accent4 2 2 6 2 2 2" xfId="16760" xr:uid="{5292FD06-2535-432D-A1E9-3498FF354197}"/>
    <cellStyle name="20% - Accent4 2 2 6 2 3" xfId="12542" xr:uid="{83AC2DA6-10BF-4B01-8885-9D35D11118C3}"/>
    <cellStyle name="20% - Accent4 2 2 6 3" xfId="6186" xr:uid="{00000000-0005-0000-0000-000007020000}"/>
    <cellStyle name="20% - Accent4 2 2 6 3 2" xfId="14615" xr:uid="{F9C5463B-BA07-43B8-B260-7DE808923183}"/>
    <cellStyle name="20% - Accent4 2 2 6 4" xfId="10397" xr:uid="{E67561C1-E6BF-4337-807A-78E365AB3E07}"/>
    <cellStyle name="20% - Accent4 2 2 7" xfId="2291" xr:uid="{00000000-0005-0000-0000-000008020000}"/>
    <cellStyle name="20% - Accent4 2 2 7 2" xfId="6599" xr:uid="{00000000-0005-0000-0000-000009020000}"/>
    <cellStyle name="20% - Accent4 2 2 7 2 2" xfId="15028" xr:uid="{427252E6-32CB-4A45-9E30-59C91E92E5E5}"/>
    <cellStyle name="20% - Accent4 2 2 7 3" xfId="10810" xr:uid="{ADDFEE1E-BE82-4B32-B77D-35B6528F75D7}"/>
    <cellStyle name="20% - Accent4 2 2 8" xfId="4533" xr:uid="{00000000-0005-0000-0000-00000A020000}"/>
    <cellStyle name="20% - Accent4 2 2 8 2" xfId="12962" xr:uid="{F5054BCB-685A-4AFE-979C-7E2815F38CC5}"/>
    <cellStyle name="20% - Accent4 2 2 9" xfId="8744" xr:uid="{1D3EE481-81C5-48A5-B40A-14F54B1128A9}"/>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2 2" xfId="15523" xr:uid="{46139993-1BC8-4B52-90B1-061745172D03}"/>
    <cellStyle name="20% - Accent4 2 3 2 2 3" xfId="11305" xr:uid="{0E1F6BC8-552D-4597-9EAA-D08074FD2148}"/>
    <cellStyle name="20% - Accent4 2 3 2 3" xfId="4949" xr:uid="{00000000-0005-0000-0000-00000F020000}"/>
    <cellStyle name="20% - Accent4 2 3 2 3 2" xfId="13378" xr:uid="{D19EB55D-2DE2-4B65-8F85-771C2AB62149}"/>
    <cellStyle name="20% - Accent4 2 3 2 4" xfId="9160" xr:uid="{4C93DD41-3A58-4A95-90B2-5A388DA8F297}"/>
    <cellStyle name="20% - Accent4 2 3 3" xfId="1052" xr:uid="{00000000-0005-0000-0000-000010020000}"/>
    <cellStyle name="20% - Accent4 2 3 3 2" xfId="3283" xr:uid="{00000000-0005-0000-0000-000011020000}"/>
    <cellStyle name="20% - Accent4 2 3 3 2 2" xfId="7507" xr:uid="{00000000-0005-0000-0000-000012020000}"/>
    <cellStyle name="20% - Accent4 2 3 3 2 2 2" xfId="15936" xr:uid="{1849B524-C2F2-4CA7-8D2C-2E195B343DD7}"/>
    <cellStyle name="20% - Accent4 2 3 3 2 3" xfId="11718" xr:uid="{D3EEEA41-18F4-4987-A909-AB4C05CC851E}"/>
    <cellStyle name="20% - Accent4 2 3 3 3" xfId="5362" xr:uid="{00000000-0005-0000-0000-000013020000}"/>
    <cellStyle name="20% - Accent4 2 3 3 3 2" xfId="13791" xr:uid="{94998ED8-6487-4160-9BCF-DB95FD55FDD1}"/>
    <cellStyle name="20% - Accent4 2 3 3 4" xfId="9573" xr:uid="{A8D716B7-B5F6-48B8-A260-F874DBF9D690}"/>
    <cellStyle name="20% - Accent4 2 3 4" xfId="1466" xr:uid="{00000000-0005-0000-0000-000014020000}"/>
    <cellStyle name="20% - Accent4 2 3 4 2" xfId="3696" xr:uid="{00000000-0005-0000-0000-000015020000}"/>
    <cellStyle name="20% - Accent4 2 3 4 2 2" xfId="7920" xr:uid="{00000000-0005-0000-0000-000016020000}"/>
    <cellStyle name="20% - Accent4 2 3 4 2 2 2" xfId="16349" xr:uid="{616DA6A0-4F65-49AA-B24C-E57EFC440386}"/>
    <cellStyle name="20% - Accent4 2 3 4 2 3" xfId="12131" xr:uid="{AEF796EF-8DA2-424B-B8CB-C4A0301B24D8}"/>
    <cellStyle name="20% - Accent4 2 3 4 3" xfId="5775" xr:uid="{00000000-0005-0000-0000-000017020000}"/>
    <cellStyle name="20% - Accent4 2 3 4 3 2" xfId="14204" xr:uid="{9F61CF0A-B119-4C37-992A-54AD9B98EF5A}"/>
    <cellStyle name="20% - Accent4 2 3 4 4" xfId="9986" xr:uid="{CE0B20FC-21E2-4E5B-9B95-63991D45C043}"/>
    <cellStyle name="20% - Accent4 2 3 5" xfId="1880" xr:uid="{00000000-0005-0000-0000-000018020000}"/>
    <cellStyle name="20% - Accent4 2 3 5 2" xfId="4109" xr:uid="{00000000-0005-0000-0000-000019020000}"/>
    <cellStyle name="20% - Accent4 2 3 5 2 2" xfId="8333" xr:uid="{00000000-0005-0000-0000-00001A020000}"/>
    <cellStyle name="20% - Accent4 2 3 5 2 2 2" xfId="16762" xr:uid="{162244FA-275F-4206-8A82-24277A70EA69}"/>
    <cellStyle name="20% - Accent4 2 3 5 2 3" xfId="12544" xr:uid="{FB496D46-37DD-4C33-A1E0-636A1AEEF8B0}"/>
    <cellStyle name="20% - Accent4 2 3 5 3" xfId="6188" xr:uid="{00000000-0005-0000-0000-00001B020000}"/>
    <cellStyle name="20% - Accent4 2 3 5 3 2" xfId="14617" xr:uid="{C44FD752-6019-4F42-AB83-823BEF5756A3}"/>
    <cellStyle name="20% - Accent4 2 3 5 4" xfId="10399" xr:uid="{0378001B-505D-471B-A332-0E5A47A095E0}"/>
    <cellStyle name="20% - Accent4 2 3 6" xfId="2293" xr:uid="{00000000-0005-0000-0000-00001C020000}"/>
    <cellStyle name="20% - Accent4 2 3 6 2" xfId="6601" xr:uid="{00000000-0005-0000-0000-00001D020000}"/>
    <cellStyle name="20% - Accent4 2 3 6 2 2" xfId="15030" xr:uid="{D57E0F51-AA0D-4B90-AC34-C21A13B329F8}"/>
    <cellStyle name="20% - Accent4 2 3 6 3" xfId="10812" xr:uid="{690CE1DE-F3FC-4FE6-A355-107F075C2747}"/>
    <cellStyle name="20% - Accent4 2 3 7" xfId="4535" xr:uid="{00000000-0005-0000-0000-00001E020000}"/>
    <cellStyle name="20% - Accent4 2 3 7 2" xfId="12964" xr:uid="{AE919500-4463-4EB8-B8F9-ECA5C6440BBA}"/>
    <cellStyle name="20% - Accent4 2 3 8" xfId="8746" xr:uid="{B27E2E69-6409-4602-B13A-E9A176FA4F8C}"/>
    <cellStyle name="20% - Accent4 2 4" xfId="596" xr:uid="{00000000-0005-0000-0000-00001F020000}"/>
    <cellStyle name="20% - Accent4 2 4 2" xfId="2867" xr:uid="{00000000-0005-0000-0000-000020020000}"/>
    <cellStyle name="20% - Accent4 2 4 2 2" xfId="7091" xr:uid="{00000000-0005-0000-0000-000021020000}"/>
    <cellStyle name="20% - Accent4 2 4 2 2 2" xfId="15520" xr:uid="{5B0E7224-2E16-4884-A0D0-AE7B66BD6EDC}"/>
    <cellStyle name="20% - Accent4 2 4 2 3" xfId="11302" xr:uid="{69D36721-DFCF-4BA1-810C-A6E86363B21E}"/>
    <cellStyle name="20% - Accent4 2 4 3" xfId="4946" xr:uid="{00000000-0005-0000-0000-000022020000}"/>
    <cellStyle name="20% - Accent4 2 4 3 2" xfId="13375" xr:uid="{72F257A6-A727-4DB4-BEB0-79F6C05DC4F5}"/>
    <cellStyle name="20% - Accent4 2 4 4" xfId="9157" xr:uid="{81F23CE5-5BC3-45E7-AF32-95BE008AF96C}"/>
    <cellStyle name="20% - Accent4 2 5" xfId="1049" xr:uid="{00000000-0005-0000-0000-000023020000}"/>
    <cellStyle name="20% - Accent4 2 5 2" xfId="3280" xr:uid="{00000000-0005-0000-0000-000024020000}"/>
    <cellStyle name="20% - Accent4 2 5 2 2" xfId="7504" xr:uid="{00000000-0005-0000-0000-000025020000}"/>
    <cellStyle name="20% - Accent4 2 5 2 2 2" xfId="15933" xr:uid="{26C23CB7-273F-4E51-8C62-F40C8E69EF52}"/>
    <cellStyle name="20% - Accent4 2 5 2 3" xfId="11715" xr:uid="{8B87E6B9-B1AD-49BE-99B6-FD92672805E4}"/>
    <cellStyle name="20% - Accent4 2 5 3" xfId="5359" xr:uid="{00000000-0005-0000-0000-000026020000}"/>
    <cellStyle name="20% - Accent4 2 5 3 2" xfId="13788" xr:uid="{B919E916-09BC-44E0-A61D-65EC30889ACD}"/>
    <cellStyle name="20% - Accent4 2 5 4" xfId="9570" xr:uid="{263174C4-D43E-4069-A6F1-E6E7DD1951E8}"/>
    <cellStyle name="20% - Accent4 2 6" xfId="1463" xr:uid="{00000000-0005-0000-0000-000027020000}"/>
    <cellStyle name="20% - Accent4 2 6 2" xfId="3693" xr:uid="{00000000-0005-0000-0000-000028020000}"/>
    <cellStyle name="20% - Accent4 2 6 2 2" xfId="7917" xr:uid="{00000000-0005-0000-0000-000029020000}"/>
    <cellStyle name="20% - Accent4 2 6 2 2 2" xfId="16346" xr:uid="{E1CEB458-8846-4E3A-AA43-6F66351D077F}"/>
    <cellStyle name="20% - Accent4 2 6 2 3" xfId="12128" xr:uid="{A8779F3A-2E81-42FD-BCCE-67B83C9E30DE}"/>
    <cellStyle name="20% - Accent4 2 6 3" xfId="5772" xr:uid="{00000000-0005-0000-0000-00002A020000}"/>
    <cellStyle name="20% - Accent4 2 6 3 2" xfId="14201" xr:uid="{AFC7D4F0-0AA3-47B7-945D-C5C196CCF1AD}"/>
    <cellStyle name="20% - Accent4 2 6 4" xfId="9983" xr:uid="{461DAC14-566A-491C-AD17-F48DA0249400}"/>
    <cellStyle name="20% - Accent4 2 7" xfId="1877" xr:uid="{00000000-0005-0000-0000-00002B020000}"/>
    <cellStyle name="20% - Accent4 2 7 2" xfId="4106" xr:uid="{00000000-0005-0000-0000-00002C020000}"/>
    <cellStyle name="20% - Accent4 2 7 2 2" xfId="8330" xr:uid="{00000000-0005-0000-0000-00002D020000}"/>
    <cellStyle name="20% - Accent4 2 7 2 2 2" xfId="16759" xr:uid="{1DF1DDAD-5E54-4C0E-9071-459A683D6808}"/>
    <cellStyle name="20% - Accent4 2 7 2 3" xfId="12541" xr:uid="{0ADC491B-E3EA-47DE-8762-D6C567EA3646}"/>
    <cellStyle name="20% - Accent4 2 7 3" xfId="6185" xr:uid="{00000000-0005-0000-0000-00002E020000}"/>
    <cellStyle name="20% - Accent4 2 7 3 2" xfId="14614" xr:uid="{64BE3EEC-9D66-46A2-8927-F99269443E32}"/>
    <cellStyle name="20% - Accent4 2 7 4" xfId="10396" xr:uid="{06CF6D1E-A003-4DF0-B0DF-9062F4C7E465}"/>
    <cellStyle name="20% - Accent4 2 8" xfId="2290" xr:uid="{00000000-0005-0000-0000-00002F020000}"/>
    <cellStyle name="20% - Accent4 2 8 2" xfId="6598" xr:uid="{00000000-0005-0000-0000-000030020000}"/>
    <cellStyle name="20% - Accent4 2 8 2 2" xfId="15027" xr:uid="{C18A68BE-7196-409C-B21F-F2E796B69975}"/>
    <cellStyle name="20% - Accent4 2 8 3" xfId="10809" xr:uid="{46CFD101-9776-4E75-AAB8-339BBAEEDC6B}"/>
    <cellStyle name="20% - Accent4 2 9" xfId="4532" xr:uid="{00000000-0005-0000-0000-000031020000}"/>
    <cellStyle name="20% - Accent4 2 9 2" xfId="12961" xr:uid="{4F4356D6-AB32-498A-9A94-6B769AE29667}"/>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2 2" xfId="15525" xr:uid="{8BF84627-B1FF-419C-BA57-E6073A856908}"/>
    <cellStyle name="20% - Accent4 3 2 2 2 3" xfId="11307" xr:uid="{967A67A4-3744-4CBC-B41B-05D7F14FCB81}"/>
    <cellStyle name="20% - Accent4 3 2 2 3" xfId="4951" xr:uid="{00000000-0005-0000-0000-000037020000}"/>
    <cellStyle name="20% - Accent4 3 2 2 3 2" xfId="13380" xr:uid="{8B2C9830-4217-4CBC-81AE-E0E56DFAFBFC}"/>
    <cellStyle name="20% - Accent4 3 2 2 4" xfId="9162" xr:uid="{8C4D3CF8-466B-4DDB-9C1D-2CE0EA360214}"/>
    <cellStyle name="20% - Accent4 3 2 3" xfId="1054" xr:uid="{00000000-0005-0000-0000-000038020000}"/>
    <cellStyle name="20% - Accent4 3 2 3 2" xfId="3285" xr:uid="{00000000-0005-0000-0000-000039020000}"/>
    <cellStyle name="20% - Accent4 3 2 3 2 2" xfId="7509" xr:uid="{00000000-0005-0000-0000-00003A020000}"/>
    <cellStyle name="20% - Accent4 3 2 3 2 2 2" xfId="15938" xr:uid="{5D755856-3C24-4F5B-95DF-08094F432D7C}"/>
    <cellStyle name="20% - Accent4 3 2 3 2 3" xfId="11720" xr:uid="{CFCB1422-7522-42D7-A6D5-AAC5C55E502C}"/>
    <cellStyle name="20% - Accent4 3 2 3 3" xfId="5364" xr:uid="{00000000-0005-0000-0000-00003B020000}"/>
    <cellStyle name="20% - Accent4 3 2 3 3 2" xfId="13793" xr:uid="{72424313-0AC2-4A85-9972-E180DEA2D1C3}"/>
    <cellStyle name="20% - Accent4 3 2 3 4" xfId="9575" xr:uid="{FD43847A-9D6F-4BC1-B8E0-74DD2A88BDDA}"/>
    <cellStyle name="20% - Accent4 3 2 4" xfId="1468" xr:uid="{00000000-0005-0000-0000-00003C020000}"/>
    <cellStyle name="20% - Accent4 3 2 4 2" xfId="3698" xr:uid="{00000000-0005-0000-0000-00003D020000}"/>
    <cellStyle name="20% - Accent4 3 2 4 2 2" xfId="7922" xr:uid="{00000000-0005-0000-0000-00003E020000}"/>
    <cellStyle name="20% - Accent4 3 2 4 2 2 2" xfId="16351" xr:uid="{BB48B7F1-26A0-4610-8094-C287CC765DC4}"/>
    <cellStyle name="20% - Accent4 3 2 4 2 3" xfId="12133" xr:uid="{905CE153-8B41-4A2B-9224-C47BD975821F}"/>
    <cellStyle name="20% - Accent4 3 2 4 3" xfId="5777" xr:uid="{00000000-0005-0000-0000-00003F020000}"/>
    <cellStyle name="20% - Accent4 3 2 4 3 2" xfId="14206" xr:uid="{6DDDA55E-BFEC-424F-A9DE-8A0DC29E0A99}"/>
    <cellStyle name="20% - Accent4 3 2 4 4" xfId="9988" xr:uid="{6F542A3F-DBA7-4325-88A5-BDE5D6438458}"/>
    <cellStyle name="20% - Accent4 3 2 5" xfId="1882" xr:uid="{00000000-0005-0000-0000-000040020000}"/>
    <cellStyle name="20% - Accent4 3 2 5 2" xfId="4111" xr:uid="{00000000-0005-0000-0000-000041020000}"/>
    <cellStyle name="20% - Accent4 3 2 5 2 2" xfId="8335" xr:uid="{00000000-0005-0000-0000-000042020000}"/>
    <cellStyle name="20% - Accent4 3 2 5 2 2 2" xfId="16764" xr:uid="{D584A091-A744-457A-A691-ECE6876945CF}"/>
    <cellStyle name="20% - Accent4 3 2 5 2 3" xfId="12546" xr:uid="{660D369E-27AB-40FD-9F55-C6A22473D1AD}"/>
    <cellStyle name="20% - Accent4 3 2 5 3" xfId="6190" xr:uid="{00000000-0005-0000-0000-000043020000}"/>
    <cellStyle name="20% - Accent4 3 2 5 3 2" xfId="14619" xr:uid="{70402137-8E99-489B-A513-6FF163209C00}"/>
    <cellStyle name="20% - Accent4 3 2 5 4" xfId="10401" xr:uid="{3918531C-E5B8-456B-BC7E-460C298ABA08}"/>
    <cellStyle name="20% - Accent4 3 2 6" xfId="2295" xr:uid="{00000000-0005-0000-0000-000044020000}"/>
    <cellStyle name="20% - Accent4 3 2 6 2" xfId="6603" xr:uid="{00000000-0005-0000-0000-000045020000}"/>
    <cellStyle name="20% - Accent4 3 2 6 2 2" xfId="15032" xr:uid="{0A9667E3-4549-4709-999A-9E4F1CE484EA}"/>
    <cellStyle name="20% - Accent4 3 2 6 3" xfId="10814" xr:uid="{093A1085-828D-467E-B8E9-FCF526444B25}"/>
    <cellStyle name="20% - Accent4 3 2 7" xfId="4537" xr:uid="{00000000-0005-0000-0000-000046020000}"/>
    <cellStyle name="20% - Accent4 3 2 7 2" xfId="12966" xr:uid="{1FA6B7FC-2623-4819-8382-53D24997FB77}"/>
    <cellStyle name="20% - Accent4 3 2 8" xfId="8748" xr:uid="{62D14ADD-637B-4256-8F85-1E0A88FE4697}"/>
    <cellStyle name="20% - Accent4 3 3" xfId="600" xr:uid="{00000000-0005-0000-0000-000047020000}"/>
    <cellStyle name="20% - Accent4 3 3 2" xfId="2871" xr:uid="{00000000-0005-0000-0000-000048020000}"/>
    <cellStyle name="20% - Accent4 3 3 2 2" xfId="7095" xr:uid="{00000000-0005-0000-0000-000049020000}"/>
    <cellStyle name="20% - Accent4 3 3 2 2 2" xfId="15524" xr:uid="{72661668-8E2B-4DA1-AF12-9A6DB56F3F18}"/>
    <cellStyle name="20% - Accent4 3 3 2 3" xfId="11306" xr:uid="{737590B6-6B84-4751-B642-9D1F1B8766D9}"/>
    <cellStyle name="20% - Accent4 3 3 3" xfId="4950" xr:uid="{00000000-0005-0000-0000-00004A020000}"/>
    <cellStyle name="20% - Accent4 3 3 3 2" xfId="13379" xr:uid="{7700027A-39FD-4371-A924-137332F6734C}"/>
    <cellStyle name="20% - Accent4 3 3 4" xfId="9161" xr:uid="{E6F98A25-AC76-4D30-B6D3-7877553C04CE}"/>
    <cellStyle name="20% - Accent4 3 4" xfId="1053" xr:uid="{00000000-0005-0000-0000-00004B020000}"/>
    <cellStyle name="20% - Accent4 3 4 2" xfId="3284" xr:uid="{00000000-0005-0000-0000-00004C020000}"/>
    <cellStyle name="20% - Accent4 3 4 2 2" xfId="7508" xr:uid="{00000000-0005-0000-0000-00004D020000}"/>
    <cellStyle name="20% - Accent4 3 4 2 2 2" xfId="15937" xr:uid="{2B3AFA94-30A0-4A53-B63C-72611D08971C}"/>
    <cellStyle name="20% - Accent4 3 4 2 3" xfId="11719" xr:uid="{A0F9B907-90F4-4DEA-90F3-E1E4FB874E65}"/>
    <cellStyle name="20% - Accent4 3 4 3" xfId="5363" xr:uid="{00000000-0005-0000-0000-00004E020000}"/>
    <cellStyle name="20% - Accent4 3 4 3 2" xfId="13792" xr:uid="{C00FC692-763E-4FAC-B54B-00970845A02C}"/>
    <cellStyle name="20% - Accent4 3 4 4" xfId="9574" xr:uid="{A2BA4E7D-C245-442C-B1CB-A61D971B936F}"/>
    <cellStyle name="20% - Accent4 3 5" xfId="1467" xr:uid="{00000000-0005-0000-0000-00004F020000}"/>
    <cellStyle name="20% - Accent4 3 5 2" xfId="3697" xr:uid="{00000000-0005-0000-0000-000050020000}"/>
    <cellStyle name="20% - Accent4 3 5 2 2" xfId="7921" xr:uid="{00000000-0005-0000-0000-000051020000}"/>
    <cellStyle name="20% - Accent4 3 5 2 2 2" xfId="16350" xr:uid="{9195EC1C-2158-4210-8C65-03FE4026F88D}"/>
    <cellStyle name="20% - Accent4 3 5 2 3" xfId="12132" xr:uid="{B55F2E8F-152C-4F81-BF11-5D53ACE61955}"/>
    <cellStyle name="20% - Accent4 3 5 3" xfId="5776" xr:uid="{00000000-0005-0000-0000-000052020000}"/>
    <cellStyle name="20% - Accent4 3 5 3 2" xfId="14205" xr:uid="{EB47AED2-797B-4B9B-BC47-84C3AEF28C72}"/>
    <cellStyle name="20% - Accent4 3 5 4" xfId="9987" xr:uid="{B1E2964D-BA71-4780-83CD-CDC1370E8AE3}"/>
    <cellStyle name="20% - Accent4 3 6" xfId="1881" xr:uid="{00000000-0005-0000-0000-000053020000}"/>
    <cellStyle name="20% - Accent4 3 6 2" xfId="4110" xr:uid="{00000000-0005-0000-0000-000054020000}"/>
    <cellStyle name="20% - Accent4 3 6 2 2" xfId="8334" xr:uid="{00000000-0005-0000-0000-000055020000}"/>
    <cellStyle name="20% - Accent4 3 6 2 2 2" xfId="16763" xr:uid="{33385977-74EF-4BA9-B396-9235EA9FF166}"/>
    <cellStyle name="20% - Accent4 3 6 2 3" xfId="12545" xr:uid="{D7FFB607-7944-4EAF-8677-A1D2F0EECBD0}"/>
    <cellStyle name="20% - Accent4 3 6 3" xfId="6189" xr:uid="{00000000-0005-0000-0000-000056020000}"/>
    <cellStyle name="20% - Accent4 3 6 3 2" xfId="14618" xr:uid="{014CC1D9-CE09-45D0-9034-16F175E4CFBF}"/>
    <cellStyle name="20% - Accent4 3 6 4" xfId="10400" xr:uid="{92179A8E-49BE-4CC8-9E65-2358D05EBE7E}"/>
    <cellStyle name="20% - Accent4 3 7" xfId="2294" xr:uid="{00000000-0005-0000-0000-000057020000}"/>
    <cellStyle name="20% - Accent4 3 7 2" xfId="6602" xr:uid="{00000000-0005-0000-0000-000058020000}"/>
    <cellStyle name="20% - Accent4 3 7 2 2" xfId="15031" xr:uid="{419DD100-9735-4620-B80A-197DA4778C5F}"/>
    <cellStyle name="20% - Accent4 3 7 3" xfId="10813" xr:uid="{BB9A27C1-6FBC-49D2-8CC2-13F24537DCDE}"/>
    <cellStyle name="20% - Accent4 3 8" xfId="4536" xr:uid="{00000000-0005-0000-0000-000059020000}"/>
    <cellStyle name="20% - Accent4 3 8 2" xfId="12965" xr:uid="{3E39115A-5998-42C6-B754-296F6E5364F9}"/>
    <cellStyle name="20% - Accent4 3 9" xfId="8747" xr:uid="{DD879785-9BFE-4BDD-BE61-2AB2570EF22C}"/>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2 2" xfId="15526" xr:uid="{465D4592-BDAB-4FAF-8C1A-F9C5E596FD51}"/>
    <cellStyle name="20% - Accent4 4 2 2 3" xfId="11308" xr:uid="{5C854E47-5500-4F0C-8428-B5A200DFE3EC}"/>
    <cellStyle name="20% - Accent4 4 2 3" xfId="4952" xr:uid="{00000000-0005-0000-0000-00005E020000}"/>
    <cellStyle name="20% - Accent4 4 2 3 2" xfId="13381" xr:uid="{52C66F0B-E2F0-41E7-8325-587889901A59}"/>
    <cellStyle name="20% - Accent4 4 2 4" xfId="9163" xr:uid="{FD65068C-48B2-4BBD-869D-CD1A8AA0B973}"/>
    <cellStyle name="20% - Accent4 4 3" xfId="1055" xr:uid="{00000000-0005-0000-0000-00005F020000}"/>
    <cellStyle name="20% - Accent4 4 3 2" xfId="3286" xr:uid="{00000000-0005-0000-0000-000060020000}"/>
    <cellStyle name="20% - Accent4 4 3 2 2" xfId="7510" xr:uid="{00000000-0005-0000-0000-000061020000}"/>
    <cellStyle name="20% - Accent4 4 3 2 2 2" xfId="15939" xr:uid="{FCAE17E2-B6F9-41C0-A5BF-E825EB81B71B}"/>
    <cellStyle name="20% - Accent4 4 3 2 3" xfId="11721" xr:uid="{F18FF024-0DB4-452E-BB23-AF4B7B4E1C4B}"/>
    <cellStyle name="20% - Accent4 4 3 3" xfId="5365" xr:uid="{00000000-0005-0000-0000-000062020000}"/>
    <cellStyle name="20% - Accent4 4 3 3 2" xfId="13794" xr:uid="{6DA1700F-8E7E-4546-9523-61405857A72C}"/>
    <cellStyle name="20% - Accent4 4 3 4" xfId="9576" xr:uid="{057135E3-1F70-4AD9-87D5-F25FE031B245}"/>
    <cellStyle name="20% - Accent4 4 4" xfId="1469" xr:uid="{00000000-0005-0000-0000-000063020000}"/>
    <cellStyle name="20% - Accent4 4 4 2" xfId="3699" xr:uid="{00000000-0005-0000-0000-000064020000}"/>
    <cellStyle name="20% - Accent4 4 4 2 2" xfId="7923" xr:uid="{00000000-0005-0000-0000-000065020000}"/>
    <cellStyle name="20% - Accent4 4 4 2 2 2" xfId="16352" xr:uid="{A8D6A0C9-1874-4D59-B9CB-41AD936A4F67}"/>
    <cellStyle name="20% - Accent4 4 4 2 3" xfId="12134" xr:uid="{4713C908-6758-43FA-B5F6-5DF748080CEE}"/>
    <cellStyle name="20% - Accent4 4 4 3" xfId="5778" xr:uid="{00000000-0005-0000-0000-000066020000}"/>
    <cellStyle name="20% - Accent4 4 4 3 2" xfId="14207" xr:uid="{0B294A75-C6DE-49C2-AC38-EF09DF3B51E6}"/>
    <cellStyle name="20% - Accent4 4 4 4" xfId="9989" xr:uid="{ACFCBB23-E44C-4E4C-BD0A-2D41C8F81F1D}"/>
    <cellStyle name="20% - Accent4 4 5" xfId="1883" xr:uid="{00000000-0005-0000-0000-000067020000}"/>
    <cellStyle name="20% - Accent4 4 5 2" xfId="4112" xr:uid="{00000000-0005-0000-0000-000068020000}"/>
    <cellStyle name="20% - Accent4 4 5 2 2" xfId="8336" xr:uid="{00000000-0005-0000-0000-000069020000}"/>
    <cellStyle name="20% - Accent4 4 5 2 2 2" xfId="16765" xr:uid="{79A80BD0-5385-41AD-863D-E12C945C40D8}"/>
    <cellStyle name="20% - Accent4 4 5 2 3" xfId="12547" xr:uid="{63D47A4F-B18B-40F0-949E-1C71978970FB}"/>
    <cellStyle name="20% - Accent4 4 5 3" xfId="6191" xr:uid="{00000000-0005-0000-0000-00006A020000}"/>
    <cellStyle name="20% - Accent4 4 5 3 2" xfId="14620" xr:uid="{DEE98FE7-6308-4FC5-865E-491FAF39413B}"/>
    <cellStyle name="20% - Accent4 4 5 4" xfId="10402" xr:uid="{596F19F1-EA3C-4F7F-8CD1-40718CDA7497}"/>
    <cellStyle name="20% - Accent4 4 6" xfId="2296" xr:uid="{00000000-0005-0000-0000-00006B020000}"/>
    <cellStyle name="20% - Accent4 4 6 2" xfId="6604" xr:uid="{00000000-0005-0000-0000-00006C020000}"/>
    <cellStyle name="20% - Accent4 4 6 2 2" xfId="15033" xr:uid="{538E10AC-8C7B-45C3-BEB6-65A514DDFD4A}"/>
    <cellStyle name="20% - Accent4 4 6 3" xfId="10815" xr:uid="{03937CF7-16A2-4822-9831-E9E3F7763F15}"/>
    <cellStyle name="20% - Accent4 4 7" xfId="4538" xr:uid="{00000000-0005-0000-0000-00006D020000}"/>
    <cellStyle name="20% - Accent4 4 7 2" xfId="12967" xr:uid="{996B21ED-F0CA-4045-A765-54B077083ACB}"/>
    <cellStyle name="20% - Accent4 4 8" xfId="8749" xr:uid="{C0B3C8E2-0C01-4CF5-A06B-57B2C4DA344D}"/>
    <cellStyle name="20% - Accent4 5" xfId="595" xr:uid="{00000000-0005-0000-0000-00006E020000}"/>
    <cellStyle name="20% - Accent4 5 2" xfId="2866" xr:uid="{00000000-0005-0000-0000-00006F020000}"/>
    <cellStyle name="20% - Accent4 5 2 2" xfId="7090" xr:uid="{00000000-0005-0000-0000-000070020000}"/>
    <cellStyle name="20% - Accent4 5 2 2 2" xfId="15519" xr:uid="{B264B47D-7288-4ABD-8600-99C221723A0D}"/>
    <cellStyle name="20% - Accent4 5 2 3" xfId="11301" xr:uid="{48806176-72A8-4DA8-9843-76980B659F9C}"/>
    <cellStyle name="20% - Accent4 5 3" xfId="4945" xr:uid="{00000000-0005-0000-0000-000071020000}"/>
    <cellStyle name="20% - Accent4 5 3 2" xfId="13374" xr:uid="{5099ADAC-2437-4FCE-A5A1-59D18EFF33BC}"/>
    <cellStyle name="20% - Accent4 5 4" xfId="9156" xr:uid="{EB5E2B89-1ED0-459E-BBC4-3B20DBF05EB6}"/>
    <cellStyle name="20% - Accent4 6" xfId="1048" xr:uid="{00000000-0005-0000-0000-000072020000}"/>
    <cellStyle name="20% - Accent4 6 2" xfId="3279" xr:uid="{00000000-0005-0000-0000-000073020000}"/>
    <cellStyle name="20% - Accent4 6 2 2" xfId="7503" xr:uid="{00000000-0005-0000-0000-000074020000}"/>
    <cellStyle name="20% - Accent4 6 2 2 2" xfId="15932" xr:uid="{DCFC6227-C0D5-42B6-8CAF-F73F75FACC65}"/>
    <cellStyle name="20% - Accent4 6 2 3" xfId="11714" xr:uid="{99D71BC6-4345-4522-9CA5-086602C42F0D}"/>
    <cellStyle name="20% - Accent4 6 3" xfId="5358" xr:uid="{00000000-0005-0000-0000-000075020000}"/>
    <cellStyle name="20% - Accent4 6 3 2" xfId="13787" xr:uid="{4BB3E631-8AF4-4D37-B8D3-109167E94D25}"/>
    <cellStyle name="20% - Accent4 6 4" xfId="9569" xr:uid="{5C4A2499-3492-4B24-8B02-D5CF5E36F7DD}"/>
    <cellStyle name="20% - Accent4 7" xfId="1462" xr:uid="{00000000-0005-0000-0000-000076020000}"/>
    <cellStyle name="20% - Accent4 7 2" xfId="3692" xr:uid="{00000000-0005-0000-0000-000077020000}"/>
    <cellStyle name="20% - Accent4 7 2 2" xfId="7916" xr:uid="{00000000-0005-0000-0000-000078020000}"/>
    <cellStyle name="20% - Accent4 7 2 2 2" xfId="16345" xr:uid="{5B54D2AA-9C31-4C73-A6FD-395F33CD622B}"/>
    <cellStyle name="20% - Accent4 7 2 3" xfId="12127" xr:uid="{B1DF422D-1CAB-48BE-AE7D-4B8D39A55757}"/>
    <cellStyle name="20% - Accent4 7 3" xfId="5771" xr:uid="{00000000-0005-0000-0000-000079020000}"/>
    <cellStyle name="20% - Accent4 7 3 2" xfId="14200" xr:uid="{3BFADB97-E47E-4A2D-9309-A30C86A99B4E}"/>
    <cellStyle name="20% - Accent4 7 4" xfId="9982" xr:uid="{74C7ED57-540A-45FE-BDCA-0463CD837D77}"/>
    <cellStyle name="20% - Accent4 8" xfId="1876" xr:uid="{00000000-0005-0000-0000-00007A020000}"/>
    <cellStyle name="20% - Accent4 8 2" xfId="4105" xr:uid="{00000000-0005-0000-0000-00007B020000}"/>
    <cellStyle name="20% - Accent4 8 2 2" xfId="8329" xr:uid="{00000000-0005-0000-0000-00007C020000}"/>
    <cellStyle name="20% - Accent4 8 2 2 2" xfId="16758" xr:uid="{1462A0D6-C9E4-49F7-8478-DA44B9C94C81}"/>
    <cellStyle name="20% - Accent4 8 2 3" xfId="12540" xr:uid="{1C84E9DF-1EAF-46C3-8B96-191056491CE5}"/>
    <cellStyle name="20% - Accent4 8 3" xfId="6184" xr:uid="{00000000-0005-0000-0000-00007D020000}"/>
    <cellStyle name="20% - Accent4 8 3 2" xfId="14613" xr:uid="{829CCEE9-3EE2-4FA7-80F9-AC648A029957}"/>
    <cellStyle name="20% - Accent4 8 4" xfId="10395" xr:uid="{4B5161F5-4C0C-4E94-AAAA-C2FFE75F9484}"/>
    <cellStyle name="20% - Accent4 9" xfId="2289" xr:uid="{00000000-0005-0000-0000-00007E020000}"/>
    <cellStyle name="20% - Accent4 9 2" xfId="6597" xr:uid="{00000000-0005-0000-0000-00007F020000}"/>
    <cellStyle name="20% - Accent4 9 2 2" xfId="15026" xr:uid="{EA4826BB-BAF5-42E4-A820-7BDF6BFE17DC}"/>
    <cellStyle name="20% - Accent4 9 3" xfId="10808" xr:uid="{4178FE6C-233B-40BC-BF6C-86AB85BD8DAF}"/>
    <cellStyle name="20% - Accent5" xfId="33" builtinId="46" customBuiltin="1"/>
    <cellStyle name="20% - Accent5 10" xfId="4539" xr:uid="{00000000-0005-0000-0000-000081020000}"/>
    <cellStyle name="20% - Accent5 10 2" xfId="12968" xr:uid="{88D0876B-76AD-4856-AD6C-BA54557BB1E8}"/>
    <cellStyle name="20% - Accent5 11" xfId="8750" xr:uid="{7DE65F31-B2D3-4AAB-9A36-A6847E27A5A4}"/>
    <cellStyle name="20% - Accent5 2" xfId="34" xr:uid="{00000000-0005-0000-0000-000082020000}"/>
    <cellStyle name="20% - Accent5 2 10" xfId="8751" xr:uid="{D0CACBE3-FECB-4E65-ACAD-09F7D1F37107}"/>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2 2" xfId="15530" xr:uid="{25CEB155-E74E-4CB0-A0ED-16D32CE61CD9}"/>
    <cellStyle name="20% - Accent5 2 2 2 2 2 3" xfId="11312" xr:uid="{119976F6-DE16-466D-9C69-6CE33A6D0F3A}"/>
    <cellStyle name="20% - Accent5 2 2 2 2 3" xfId="4956" xr:uid="{00000000-0005-0000-0000-000088020000}"/>
    <cellStyle name="20% - Accent5 2 2 2 2 3 2" xfId="13385" xr:uid="{C811A418-5BAD-49BF-B744-9DC169C8E019}"/>
    <cellStyle name="20% - Accent5 2 2 2 2 4" xfId="9167" xr:uid="{FDFBA389-E404-4824-B84E-64083A6407EA}"/>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2 2" xfId="15943" xr:uid="{3BDF9B8E-40F1-4E93-B80E-4C41D6885CB8}"/>
    <cellStyle name="20% - Accent5 2 2 2 3 2 3" xfId="11725" xr:uid="{6F825E31-00C8-4F48-9E00-ACE9F5E34D67}"/>
    <cellStyle name="20% - Accent5 2 2 2 3 3" xfId="5369" xr:uid="{00000000-0005-0000-0000-00008C020000}"/>
    <cellStyle name="20% - Accent5 2 2 2 3 3 2" xfId="13798" xr:uid="{47FA7D6D-ABCD-4334-B706-19FA4CA16AD6}"/>
    <cellStyle name="20% - Accent5 2 2 2 3 4" xfId="9580" xr:uid="{A51725B3-FD68-4C38-8194-9C702C6A1ED3}"/>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2 2" xfId="16356" xr:uid="{F5716D72-DF8F-42DB-B3D1-69554C14367F}"/>
    <cellStyle name="20% - Accent5 2 2 2 4 2 3" xfId="12138" xr:uid="{3B3367E3-7814-4B26-86E6-2B778056500E}"/>
    <cellStyle name="20% - Accent5 2 2 2 4 3" xfId="5782" xr:uid="{00000000-0005-0000-0000-000090020000}"/>
    <cellStyle name="20% - Accent5 2 2 2 4 3 2" xfId="14211" xr:uid="{55C2B463-603C-43E5-BE3E-07DE0364B59E}"/>
    <cellStyle name="20% - Accent5 2 2 2 4 4" xfId="9993" xr:uid="{0D96778D-EA4A-4185-A82B-C5C7B3E046FD}"/>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2 2" xfId="16769" xr:uid="{D7F065CF-A55E-421D-A9EF-E89E09812809}"/>
    <cellStyle name="20% - Accent5 2 2 2 5 2 3" xfId="12551" xr:uid="{AF5D8D1F-8503-4B7F-A30B-17106D95684C}"/>
    <cellStyle name="20% - Accent5 2 2 2 5 3" xfId="6195" xr:uid="{00000000-0005-0000-0000-000094020000}"/>
    <cellStyle name="20% - Accent5 2 2 2 5 3 2" xfId="14624" xr:uid="{AB8D37F4-393B-4E07-A34C-8B49CFFC8433}"/>
    <cellStyle name="20% - Accent5 2 2 2 5 4" xfId="10406" xr:uid="{95EF8D4B-9A68-4D7E-BC77-544E4BCB6376}"/>
    <cellStyle name="20% - Accent5 2 2 2 6" xfId="2300" xr:uid="{00000000-0005-0000-0000-000095020000}"/>
    <cellStyle name="20% - Accent5 2 2 2 6 2" xfId="6608" xr:uid="{00000000-0005-0000-0000-000096020000}"/>
    <cellStyle name="20% - Accent5 2 2 2 6 2 2" xfId="15037" xr:uid="{FC9671B6-54C0-4051-80AC-CB79BAD4ED1D}"/>
    <cellStyle name="20% - Accent5 2 2 2 6 3" xfId="10819" xr:uid="{28A72AC0-74B3-4866-94F8-9601C4C3F72B}"/>
    <cellStyle name="20% - Accent5 2 2 2 7" xfId="4542" xr:uid="{00000000-0005-0000-0000-000097020000}"/>
    <cellStyle name="20% - Accent5 2 2 2 7 2" xfId="12971" xr:uid="{D7BBC2AF-A795-4BB2-A186-2FC315C73993}"/>
    <cellStyle name="20% - Accent5 2 2 2 8" xfId="8753" xr:uid="{7C418A9F-8D9A-41D6-BCA6-BAED93AB1FEF}"/>
    <cellStyle name="20% - Accent5 2 2 3" xfId="605" xr:uid="{00000000-0005-0000-0000-000098020000}"/>
    <cellStyle name="20% - Accent5 2 2 3 2" xfId="2876" xr:uid="{00000000-0005-0000-0000-000099020000}"/>
    <cellStyle name="20% - Accent5 2 2 3 2 2" xfId="7100" xr:uid="{00000000-0005-0000-0000-00009A020000}"/>
    <cellStyle name="20% - Accent5 2 2 3 2 2 2" xfId="15529" xr:uid="{226D2475-5B53-4B5F-A2D5-4CDE4685315D}"/>
    <cellStyle name="20% - Accent5 2 2 3 2 3" xfId="11311" xr:uid="{DE7D90A5-1588-49DF-A609-7F266E2A7629}"/>
    <cellStyle name="20% - Accent5 2 2 3 3" xfId="4955" xr:uid="{00000000-0005-0000-0000-00009B020000}"/>
    <cellStyle name="20% - Accent5 2 2 3 3 2" xfId="13384" xr:uid="{B193DCC3-6686-42E9-BB0D-24B0F078C6D7}"/>
    <cellStyle name="20% - Accent5 2 2 3 4" xfId="9166" xr:uid="{210285FC-F166-4B5E-81E5-601E25FC9548}"/>
    <cellStyle name="20% - Accent5 2 2 4" xfId="1058" xr:uid="{00000000-0005-0000-0000-00009C020000}"/>
    <cellStyle name="20% - Accent5 2 2 4 2" xfId="3289" xr:uid="{00000000-0005-0000-0000-00009D020000}"/>
    <cellStyle name="20% - Accent5 2 2 4 2 2" xfId="7513" xr:uid="{00000000-0005-0000-0000-00009E020000}"/>
    <cellStyle name="20% - Accent5 2 2 4 2 2 2" xfId="15942" xr:uid="{BC9DBD13-E830-4B4A-A6D9-527E88E62106}"/>
    <cellStyle name="20% - Accent5 2 2 4 2 3" xfId="11724" xr:uid="{3280147D-CEE6-4380-B78A-B79DA9F3A0D3}"/>
    <cellStyle name="20% - Accent5 2 2 4 3" xfId="5368" xr:uid="{00000000-0005-0000-0000-00009F020000}"/>
    <cellStyle name="20% - Accent5 2 2 4 3 2" xfId="13797" xr:uid="{867D5D5F-78B8-4FFD-BF6B-917C1AFA1933}"/>
    <cellStyle name="20% - Accent5 2 2 4 4" xfId="9579" xr:uid="{E33E1799-F439-4053-B74E-5136A6C4C289}"/>
    <cellStyle name="20% - Accent5 2 2 5" xfId="1472" xr:uid="{00000000-0005-0000-0000-0000A0020000}"/>
    <cellStyle name="20% - Accent5 2 2 5 2" xfId="3702" xr:uid="{00000000-0005-0000-0000-0000A1020000}"/>
    <cellStyle name="20% - Accent5 2 2 5 2 2" xfId="7926" xr:uid="{00000000-0005-0000-0000-0000A2020000}"/>
    <cellStyle name="20% - Accent5 2 2 5 2 2 2" xfId="16355" xr:uid="{0547B0DB-5AC5-4E32-9DF7-8F94AA4DFB9E}"/>
    <cellStyle name="20% - Accent5 2 2 5 2 3" xfId="12137" xr:uid="{7638EB32-B083-41D2-9E53-882301E2E0C7}"/>
    <cellStyle name="20% - Accent5 2 2 5 3" xfId="5781" xr:uid="{00000000-0005-0000-0000-0000A3020000}"/>
    <cellStyle name="20% - Accent5 2 2 5 3 2" xfId="14210" xr:uid="{0C9AE9BD-443B-4AE6-95C0-BCF25521D3A5}"/>
    <cellStyle name="20% - Accent5 2 2 5 4" xfId="9992" xr:uid="{7D352DC7-9E4D-4DBB-B94C-9B2EBDA74E5D}"/>
    <cellStyle name="20% - Accent5 2 2 6" xfId="1886" xr:uid="{00000000-0005-0000-0000-0000A4020000}"/>
    <cellStyle name="20% - Accent5 2 2 6 2" xfId="4115" xr:uid="{00000000-0005-0000-0000-0000A5020000}"/>
    <cellStyle name="20% - Accent5 2 2 6 2 2" xfId="8339" xr:uid="{00000000-0005-0000-0000-0000A6020000}"/>
    <cellStyle name="20% - Accent5 2 2 6 2 2 2" xfId="16768" xr:uid="{76975F49-04FC-452D-9ED4-8822C8E76831}"/>
    <cellStyle name="20% - Accent5 2 2 6 2 3" xfId="12550" xr:uid="{7E67FB3B-A93B-4D5A-81C9-19032CDD2F7E}"/>
    <cellStyle name="20% - Accent5 2 2 6 3" xfId="6194" xr:uid="{00000000-0005-0000-0000-0000A7020000}"/>
    <cellStyle name="20% - Accent5 2 2 6 3 2" xfId="14623" xr:uid="{86021AC5-48FC-406D-A0D5-257252F95760}"/>
    <cellStyle name="20% - Accent5 2 2 6 4" xfId="10405" xr:uid="{82D2F439-AAF6-4277-A52A-3C068B034072}"/>
    <cellStyle name="20% - Accent5 2 2 7" xfId="2299" xr:uid="{00000000-0005-0000-0000-0000A8020000}"/>
    <cellStyle name="20% - Accent5 2 2 7 2" xfId="6607" xr:uid="{00000000-0005-0000-0000-0000A9020000}"/>
    <cellStyle name="20% - Accent5 2 2 7 2 2" xfId="15036" xr:uid="{94C19A64-D62F-4E34-8ECF-C4A439527F1F}"/>
    <cellStyle name="20% - Accent5 2 2 7 3" xfId="10818" xr:uid="{5E2DF12A-C0FA-4268-B164-9B5A8CED62B4}"/>
    <cellStyle name="20% - Accent5 2 2 8" xfId="4541" xr:uid="{00000000-0005-0000-0000-0000AA020000}"/>
    <cellStyle name="20% - Accent5 2 2 8 2" xfId="12970" xr:uid="{140A68F9-FFCB-4739-8A83-F19308ED720F}"/>
    <cellStyle name="20% - Accent5 2 2 9" xfId="8752" xr:uid="{2025B512-3766-475F-A1A4-AB27ADCB2925}"/>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2 2" xfId="15531" xr:uid="{BC7874F9-D69A-4D3F-AFCF-C466CEC6470A}"/>
    <cellStyle name="20% - Accent5 2 3 2 2 3" xfId="11313" xr:uid="{D1D6B13F-6236-41B6-845D-E4B22C537766}"/>
    <cellStyle name="20% - Accent5 2 3 2 3" xfId="4957" xr:uid="{00000000-0005-0000-0000-0000AF020000}"/>
    <cellStyle name="20% - Accent5 2 3 2 3 2" xfId="13386" xr:uid="{D57026AF-CF03-48BA-B35A-7D836357BE1A}"/>
    <cellStyle name="20% - Accent5 2 3 2 4" xfId="9168" xr:uid="{9174E31D-C853-4629-B8BD-9634F0051D21}"/>
    <cellStyle name="20% - Accent5 2 3 3" xfId="1060" xr:uid="{00000000-0005-0000-0000-0000B0020000}"/>
    <cellStyle name="20% - Accent5 2 3 3 2" xfId="3291" xr:uid="{00000000-0005-0000-0000-0000B1020000}"/>
    <cellStyle name="20% - Accent5 2 3 3 2 2" xfId="7515" xr:uid="{00000000-0005-0000-0000-0000B2020000}"/>
    <cellStyle name="20% - Accent5 2 3 3 2 2 2" xfId="15944" xr:uid="{5397C564-1453-4160-B8A1-4C4652BD94F2}"/>
    <cellStyle name="20% - Accent5 2 3 3 2 3" xfId="11726" xr:uid="{D4816B9D-AB28-41F5-BFDF-C86B9D699B26}"/>
    <cellStyle name="20% - Accent5 2 3 3 3" xfId="5370" xr:uid="{00000000-0005-0000-0000-0000B3020000}"/>
    <cellStyle name="20% - Accent5 2 3 3 3 2" xfId="13799" xr:uid="{7BF52B68-62AB-46BB-9942-A8F5C57BCDDA}"/>
    <cellStyle name="20% - Accent5 2 3 3 4" xfId="9581" xr:uid="{686318D7-CF34-44BD-91C4-9C7924571180}"/>
    <cellStyle name="20% - Accent5 2 3 4" xfId="1474" xr:uid="{00000000-0005-0000-0000-0000B4020000}"/>
    <cellStyle name="20% - Accent5 2 3 4 2" xfId="3704" xr:uid="{00000000-0005-0000-0000-0000B5020000}"/>
    <cellStyle name="20% - Accent5 2 3 4 2 2" xfId="7928" xr:uid="{00000000-0005-0000-0000-0000B6020000}"/>
    <cellStyle name="20% - Accent5 2 3 4 2 2 2" xfId="16357" xr:uid="{B710EE08-1874-4C42-B487-1EBBBD88CCF0}"/>
    <cellStyle name="20% - Accent5 2 3 4 2 3" xfId="12139" xr:uid="{970CAEEC-63B3-410F-A5D6-3E9FE4301B29}"/>
    <cellStyle name="20% - Accent5 2 3 4 3" xfId="5783" xr:uid="{00000000-0005-0000-0000-0000B7020000}"/>
    <cellStyle name="20% - Accent5 2 3 4 3 2" xfId="14212" xr:uid="{25AB6975-E1F5-4E00-9B05-4D1549B0E8D6}"/>
    <cellStyle name="20% - Accent5 2 3 4 4" xfId="9994" xr:uid="{2E3876BC-3F88-4370-8BD8-3D4C88926F93}"/>
    <cellStyle name="20% - Accent5 2 3 5" xfId="1888" xr:uid="{00000000-0005-0000-0000-0000B8020000}"/>
    <cellStyle name="20% - Accent5 2 3 5 2" xfId="4117" xr:uid="{00000000-0005-0000-0000-0000B9020000}"/>
    <cellStyle name="20% - Accent5 2 3 5 2 2" xfId="8341" xr:uid="{00000000-0005-0000-0000-0000BA020000}"/>
    <cellStyle name="20% - Accent5 2 3 5 2 2 2" xfId="16770" xr:uid="{BAC7B5BF-BD38-48F4-BA8D-7847B075B421}"/>
    <cellStyle name="20% - Accent5 2 3 5 2 3" xfId="12552" xr:uid="{86944179-99A4-4D3D-9796-6C3F66601032}"/>
    <cellStyle name="20% - Accent5 2 3 5 3" xfId="6196" xr:uid="{00000000-0005-0000-0000-0000BB020000}"/>
    <cellStyle name="20% - Accent5 2 3 5 3 2" xfId="14625" xr:uid="{17F4390C-222E-4565-8DD0-D63AA687D698}"/>
    <cellStyle name="20% - Accent5 2 3 5 4" xfId="10407" xr:uid="{C8D8741C-B729-4247-AD6D-DD92FB35856E}"/>
    <cellStyle name="20% - Accent5 2 3 6" xfId="2301" xr:uid="{00000000-0005-0000-0000-0000BC020000}"/>
    <cellStyle name="20% - Accent5 2 3 6 2" xfId="6609" xr:uid="{00000000-0005-0000-0000-0000BD020000}"/>
    <cellStyle name="20% - Accent5 2 3 6 2 2" xfId="15038" xr:uid="{DDB0BACF-69B2-4FD6-B549-63F19422EE19}"/>
    <cellStyle name="20% - Accent5 2 3 6 3" xfId="10820" xr:uid="{3411B205-A369-41E8-8FDE-107B959EC8BC}"/>
    <cellStyle name="20% - Accent5 2 3 7" xfId="4543" xr:uid="{00000000-0005-0000-0000-0000BE020000}"/>
    <cellStyle name="20% - Accent5 2 3 7 2" xfId="12972" xr:uid="{809E841D-EC0C-4FF5-BC64-0767B216FCEA}"/>
    <cellStyle name="20% - Accent5 2 3 8" xfId="8754" xr:uid="{E19134B3-E068-4983-9FEA-CAA203EBADC6}"/>
    <cellStyle name="20% - Accent5 2 4" xfId="604" xr:uid="{00000000-0005-0000-0000-0000BF020000}"/>
    <cellStyle name="20% - Accent5 2 4 2" xfId="2875" xr:uid="{00000000-0005-0000-0000-0000C0020000}"/>
    <cellStyle name="20% - Accent5 2 4 2 2" xfId="7099" xr:uid="{00000000-0005-0000-0000-0000C1020000}"/>
    <cellStyle name="20% - Accent5 2 4 2 2 2" xfId="15528" xr:uid="{0989258A-6BF5-4957-BF9F-985FB644B0F7}"/>
    <cellStyle name="20% - Accent5 2 4 2 3" xfId="11310" xr:uid="{B7B58B2A-19ED-4162-9E77-FB377A90E01E}"/>
    <cellStyle name="20% - Accent5 2 4 3" xfId="4954" xr:uid="{00000000-0005-0000-0000-0000C2020000}"/>
    <cellStyle name="20% - Accent5 2 4 3 2" xfId="13383" xr:uid="{CC3FED7C-66A2-454F-9E97-D733841853DE}"/>
    <cellStyle name="20% - Accent5 2 4 4" xfId="9165" xr:uid="{56FAE6D2-DC34-499B-9CDD-5927F5113677}"/>
    <cellStyle name="20% - Accent5 2 5" xfId="1057" xr:uid="{00000000-0005-0000-0000-0000C3020000}"/>
    <cellStyle name="20% - Accent5 2 5 2" xfId="3288" xr:uid="{00000000-0005-0000-0000-0000C4020000}"/>
    <cellStyle name="20% - Accent5 2 5 2 2" xfId="7512" xr:uid="{00000000-0005-0000-0000-0000C5020000}"/>
    <cellStyle name="20% - Accent5 2 5 2 2 2" xfId="15941" xr:uid="{7FCA9501-961F-4C6C-8E7E-0EE166F39937}"/>
    <cellStyle name="20% - Accent5 2 5 2 3" xfId="11723" xr:uid="{1D79940D-8C51-481D-8C6B-88E71281C4BE}"/>
    <cellStyle name="20% - Accent5 2 5 3" xfId="5367" xr:uid="{00000000-0005-0000-0000-0000C6020000}"/>
    <cellStyle name="20% - Accent5 2 5 3 2" xfId="13796" xr:uid="{4C031FA5-2B90-43AA-A590-D6F3116851FA}"/>
    <cellStyle name="20% - Accent5 2 5 4" xfId="9578" xr:uid="{0D6A9A03-C0B3-4020-9BA0-C8CA9980C3CC}"/>
    <cellStyle name="20% - Accent5 2 6" xfId="1471" xr:uid="{00000000-0005-0000-0000-0000C7020000}"/>
    <cellStyle name="20% - Accent5 2 6 2" xfId="3701" xr:uid="{00000000-0005-0000-0000-0000C8020000}"/>
    <cellStyle name="20% - Accent5 2 6 2 2" xfId="7925" xr:uid="{00000000-0005-0000-0000-0000C9020000}"/>
    <cellStyle name="20% - Accent5 2 6 2 2 2" xfId="16354" xr:uid="{3B778E1B-EDCF-4F06-B196-9EE34DE37B96}"/>
    <cellStyle name="20% - Accent5 2 6 2 3" xfId="12136" xr:uid="{1916DF59-A930-48C9-A1A8-DB2A715CF582}"/>
    <cellStyle name="20% - Accent5 2 6 3" xfId="5780" xr:uid="{00000000-0005-0000-0000-0000CA020000}"/>
    <cellStyle name="20% - Accent5 2 6 3 2" xfId="14209" xr:uid="{B5CE20D5-A4F4-4944-BDE9-9D20FC6449F8}"/>
    <cellStyle name="20% - Accent5 2 6 4" xfId="9991" xr:uid="{D394CA1D-93DC-4C01-9460-A2F167BD508B}"/>
    <cellStyle name="20% - Accent5 2 7" xfId="1885" xr:uid="{00000000-0005-0000-0000-0000CB020000}"/>
    <cellStyle name="20% - Accent5 2 7 2" xfId="4114" xr:uid="{00000000-0005-0000-0000-0000CC020000}"/>
    <cellStyle name="20% - Accent5 2 7 2 2" xfId="8338" xr:uid="{00000000-0005-0000-0000-0000CD020000}"/>
    <cellStyle name="20% - Accent5 2 7 2 2 2" xfId="16767" xr:uid="{7E496EA2-8A47-48E3-87EE-4F7DFE68FE4A}"/>
    <cellStyle name="20% - Accent5 2 7 2 3" xfId="12549" xr:uid="{6B6CE720-8276-491E-AA85-1CF81069338C}"/>
    <cellStyle name="20% - Accent5 2 7 3" xfId="6193" xr:uid="{00000000-0005-0000-0000-0000CE020000}"/>
    <cellStyle name="20% - Accent5 2 7 3 2" xfId="14622" xr:uid="{1C7F1CC7-9028-4C42-BCBA-77434DA4A2D1}"/>
    <cellStyle name="20% - Accent5 2 7 4" xfId="10404" xr:uid="{14B591B3-9917-417E-B037-961566B19911}"/>
    <cellStyle name="20% - Accent5 2 8" xfId="2298" xr:uid="{00000000-0005-0000-0000-0000CF020000}"/>
    <cellStyle name="20% - Accent5 2 8 2" xfId="6606" xr:uid="{00000000-0005-0000-0000-0000D0020000}"/>
    <cellStyle name="20% - Accent5 2 8 2 2" xfId="15035" xr:uid="{02D301E1-9597-4AC0-9191-FBC7869B0E98}"/>
    <cellStyle name="20% - Accent5 2 8 3" xfId="10817" xr:uid="{5A64129C-880C-4A5A-BA11-8FD7E4863AAE}"/>
    <cellStyle name="20% - Accent5 2 9" xfId="4540" xr:uid="{00000000-0005-0000-0000-0000D1020000}"/>
    <cellStyle name="20% - Accent5 2 9 2" xfId="12969" xr:uid="{A03BF045-5394-45DD-BA3E-5883E2C7F152}"/>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2 2" xfId="15533" xr:uid="{F3977597-F818-4463-91E1-2811EDBA9C3C}"/>
    <cellStyle name="20% - Accent5 3 2 2 2 3" xfId="11315" xr:uid="{2C266BBF-46D1-40CE-AB6A-F4706BE9851A}"/>
    <cellStyle name="20% - Accent5 3 2 2 3" xfId="4959" xr:uid="{00000000-0005-0000-0000-0000D7020000}"/>
    <cellStyle name="20% - Accent5 3 2 2 3 2" xfId="13388" xr:uid="{F98E6768-CF23-4398-AA86-CD1D79E4689C}"/>
    <cellStyle name="20% - Accent5 3 2 2 4" xfId="9170" xr:uid="{7CDB985A-E045-450E-8814-47A97DDD71E8}"/>
    <cellStyle name="20% - Accent5 3 2 3" xfId="1062" xr:uid="{00000000-0005-0000-0000-0000D8020000}"/>
    <cellStyle name="20% - Accent5 3 2 3 2" xfId="3293" xr:uid="{00000000-0005-0000-0000-0000D9020000}"/>
    <cellStyle name="20% - Accent5 3 2 3 2 2" xfId="7517" xr:uid="{00000000-0005-0000-0000-0000DA020000}"/>
    <cellStyle name="20% - Accent5 3 2 3 2 2 2" xfId="15946" xr:uid="{031CFC2A-6115-46C5-9F5F-3322152CAC25}"/>
    <cellStyle name="20% - Accent5 3 2 3 2 3" xfId="11728" xr:uid="{C849C37C-5665-4252-BF55-BCDE5B7B6DFA}"/>
    <cellStyle name="20% - Accent5 3 2 3 3" xfId="5372" xr:uid="{00000000-0005-0000-0000-0000DB020000}"/>
    <cellStyle name="20% - Accent5 3 2 3 3 2" xfId="13801" xr:uid="{323FD912-E7B4-45AF-86EA-B1EC0ABE2D1E}"/>
    <cellStyle name="20% - Accent5 3 2 3 4" xfId="9583" xr:uid="{EA69C703-CD38-439F-8DE1-90F889B71287}"/>
    <cellStyle name="20% - Accent5 3 2 4" xfId="1476" xr:uid="{00000000-0005-0000-0000-0000DC020000}"/>
    <cellStyle name="20% - Accent5 3 2 4 2" xfId="3706" xr:uid="{00000000-0005-0000-0000-0000DD020000}"/>
    <cellStyle name="20% - Accent5 3 2 4 2 2" xfId="7930" xr:uid="{00000000-0005-0000-0000-0000DE020000}"/>
    <cellStyle name="20% - Accent5 3 2 4 2 2 2" xfId="16359" xr:uid="{8E29B341-CBFB-46B5-A6D4-34B3A135330A}"/>
    <cellStyle name="20% - Accent5 3 2 4 2 3" xfId="12141" xr:uid="{58B3B5F7-CC0A-45D9-BBC9-46B4EA272D3E}"/>
    <cellStyle name="20% - Accent5 3 2 4 3" xfId="5785" xr:uid="{00000000-0005-0000-0000-0000DF020000}"/>
    <cellStyle name="20% - Accent5 3 2 4 3 2" xfId="14214" xr:uid="{20198EE0-9A19-4F1F-988C-2106D04D1E96}"/>
    <cellStyle name="20% - Accent5 3 2 4 4" xfId="9996" xr:uid="{5463D0CB-9958-4117-9C63-FE0E23647F65}"/>
    <cellStyle name="20% - Accent5 3 2 5" xfId="1890" xr:uid="{00000000-0005-0000-0000-0000E0020000}"/>
    <cellStyle name="20% - Accent5 3 2 5 2" xfId="4119" xr:uid="{00000000-0005-0000-0000-0000E1020000}"/>
    <cellStyle name="20% - Accent5 3 2 5 2 2" xfId="8343" xr:uid="{00000000-0005-0000-0000-0000E2020000}"/>
    <cellStyle name="20% - Accent5 3 2 5 2 2 2" xfId="16772" xr:uid="{60DE4349-3C36-4739-90D0-4F69881121E7}"/>
    <cellStyle name="20% - Accent5 3 2 5 2 3" xfId="12554" xr:uid="{E6D369E9-2837-4FCD-8BEB-00CCB4B7EAA9}"/>
    <cellStyle name="20% - Accent5 3 2 5 3" xfId="6198" xr:uid="{00000000-0005-0000-0000-0000E3020000}"/>
    <cellStyle name="20% - Accent5 3 2 5 3 2" xfId="14627" xr:uid="{F877AC13-AA47-4298-B48C-23A7BCC0B2AB}"/>
    <cellStyle name="20% - Accent5 3 2 5 4" xfId="10409" xr:uid="{7E520210-9579-4E5F-858A-87CDE5B859CB}"/>
    <cellStyle name="20% - Accent5 3 2 6" xfId="2303" xr:uid="{00000000-0005-0000-0000-0000E4020000}"/>
    <cellStyle name="20% - Accent5 3 2 6 2" xfId="6611" xr:uid="{00000000-0005-0000-0000-0000E5020000}"/>
    <cellStyle name="20% - Accent5 3 2 6 2 2" xfId="15040" xr:uid="{D6AE2A34-9676-4CDD-919F-E07B3149C9C0}"/>
    <cellStyle name="20% - Accent5 3 2 6 3" xfId="10822" xr:uid="{AB433984-7252-4612-BCB1-03BA119FB428}"/>
    <cellStyle name="20% - Accent5 3 2 7" xfId="4545" xr:uid="{00000000-0005-0000-0000-0000E6020000}"/>
    <cellStyle name="20% - Accent5 3 2 7 2" xfId="12974" xr:uid="{C0F46D9F-BB5E-46CD-912A-4CC98C36221F}"/>
    <cellStyle name="20% - Accent5 3 2 8" xfId="8756" xr:uid="{DB4A6011-743D-4943-917A-EA37D39CD6DC}"/>
    <cellStyle name="20% - Accent5 3 3" xfId="608" xr:uid="{00000000-0005-0000-0000-0000E7020000}"/>
    <cellStyle name="20% - Accent5 3 3 2" xfId="2879" xr:uid="{00000000-0005-0000-0000-0000E8020000}"/>
    <cellStyle name="20% - Accent5 3 3 2 2" xfId="7103" xr:uid="{00000000-0005-0000-0000-0000E9020000}"/>
    <cellStyle name="20% - Accent5 3 3 2 2 2" xfId="15532" xr:uid="{AFABB8BE-7ED9-4F0B-AFE9-BF8824C1F367}"/>
    <cellStyle name="20% - Accent5 3 3 2 3" xfId="11314" xr:uid="{841C22D2-D129-4544-AB5D-0FE8CBD6F4A0}"/>
    <cellStyle name="20% - Accent5 3 3 3" xfId="4958" xr:uid="{00000000-0005-0000-0000-0000EA020000}"/>
    <cellStyle name="20% - Accent5 3 3 3 2" xfId="13387" xr:uid="{A6D06C30-A721-4CFD-B536-81BD52F5DBA1}"/>
    <cellStyle name="20% - Accent5 3 3 4" xfId="9169" xr:uid="{433A2F40-39C9-43CB-978B-6FA8184CDDD5}"/>
    <cellStyle name="20% - Accent5 3 4" xfId="1061" xr:uid="{00000000-0005-0000-0000-0000EB020000}"/>
    <cellStyle name="20% - Accent5 3 4 2" xfId="3292" xr:uid="{00000000-0005-0000-0000-0000EC020000}"/>
    <cellStyle name="20% - Accent5 3 4 2 2" xfId="7516" xr:uid="{00000000-0005-0000-0000-0000ED020000}"/>
    <cellStyle name="20% - Accent5 3 4 2 2 2" xfId="15945" xr:uid="{CEA1EAB9-7031-460C-8F7B-B4A6A95C3217}"/>
    <cellStyle name="20% - Accent5 3 4 2 3" xfId="11727" xr:uid="{FF457CDC-BFE4-482B-8A2B-7A714F0FF7C1}"/>
    <cellStyle name="20% - Accent5 3 4 3" xfId="5371" xr:uid="{00000000-0005-0000-0000-0000EE020000}"/>
    <cellStyle name="20% - Accent5 3 4 3 2" xfId="13800" xr:uid="{6916CA7D-70E8-4F70-B17D-3A1E5D7451BA}"/>
    <cellStyle name="20% - Accent5 3 4 4" xfId="9582" xr:uid="{846AA969-4392-45D4-8E18-0E75A7D0AEB0}"/>
    <cellStyle name="20% - Accent5 3 5" xfId="1475" xr:uid="{00000000-0005-0000-0000-0000EF020000}"/>
    <cellStyle name="20% - Accent5 3 5 2" xfId="3705" xr:uid="{00000000-0005-0000-0000-0000F0020000}"/>
    <cellStyle name="20% - Accent5 3 5 2 2" xfId="7929" xr:uid="{00000000-0005-0000-0000-0000F1020000}"/>
    <cellStyle name="20% - Accent5 3 5 2 2 2" xfId="16358" xr:uid="{B393FB99-D648-4EBE-BC20-C067700E6849}"/>
    <cellStyle name="20% - Accent5 3 5 2 3" xfId="12140" xr:uid="{AD56815E-73BE-4F4B-9054-67C12DD8B8B1}"/>
    <cellStyle name="20% - Accent5 3 5 3" xfId="5784" xr:uid="{00000000-0005-0000-0000-0000F2020000}"/>
    <cellStyle name="20% - Accent5 3 5 3 2" xfId="14213" xr:uid="{0038DB26-8B40-477C-A534-4BF2AEADEC81}"/>
    <cellStyle name="20% - Accent5 3 5 4" xfId="9995" xr:uid="{21F98436-59CD-44E8-851A-619583FC2F97}"/>
    <cellStyle name="20% - Accent5 3 6" xfId="1889" xr:uid="{00000000-0005-0000-0000-0000F3020000}"/>
    <cellStyle name="20% - Accent5 3 6 2" xfId="4118" xr:uid="{00000000-0005-0000-0000-0000F4020000}"/>
    <cellStyle name="20% - Accent5 3 6 2 2" xfId="8342" xr:uid="{00000000-0005-0000-0000-0000F5020000}"/>
    <cellStyle name="20% - Accent5 3 6 2 2 2" xfId="16771" xr:uid="{952CFD01-4620-44F8-B27A-9263F19C842D}"/>
    <cellStyle name="20% - Accent5 3 6 2 3" xfId="12553" xr:uid="{890E49D9-F235-4028-935A-74A71C588433}"/>
    <cellStyle name="20% - Accent5 3 6 3" xfId="6197" xr:uid="{00000000-0005-0000-0000-0000F6020000}"/>
    <cellStyle name="20% - Accent5 3 6 3 2" xfId="14626" xr:uid="{11D0AE54-7DAB-43E2-BB97-CF420EA5F273}"/>
    <cellStyle name="20% - Accent5 3 6 4" xfId="10408" xr:uid="{20D71D3A-A38F-4B60-930D-CFAF856EE700}"/>
    <cellStyle name="20% - Accent5 3 7" xfId="2302" xr:uid="{00000000-0005-0000-0000-0000F7020000}"/>
    <cellStyle name="20% - Accent5 3 7 2" xfId="6610" xr:uid="{00000000-0005-0000-0000-0000F8020000}"/>
    <cellStyle name="20% - Accent5 3 7 2 2" xfId="15039" xr:uid="{3C9927ED-55DF-4943-AA4B-16ECDF266C21}"/>
    <cellStyle name="20% - Accent5 3 7 3" xfId="10821" xr:uid="{871E256C-95BB-4D7D-859C-A3BCA14FF102}"/>
    <cellStyle name="20% - Accent5 3 8" xfId="4544" xr:uid="{00000000-0005-0000-0000-0000F9020000}"/>
    <cellStyle name="20% - Accent5 3 8 2" xfId="12973" xr:uid="{BB686BD1-7021-40BF-9A2E-7333C9081F59}"/>
    <cellStyle name="20% - Accent5 3 9" xfId="8755" xr:uid="{77ADC620-EFDD-460B-9389-87F3DB62C70E}"/>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2 2" xfId="15534" xr:uid="{265EABB9-5B8A-4840-8CA8-EF97B2C4990F}"/>
    <cellStyle name="20% - Accent5 4 2 2 3" xfId="11316" xr:uid="{88712A6B-9AD8-4B70-A054-C5D1D4D6C250}"/>
    <cellStyle name="20% - Accent5 4 2 3" xfId="4960" xr:uid="{00000000-0005-0000-0000-0000FE020000}"/>
    <cellStyle name="20% - Accent5 4 2 3 2" xfId="13389" xr:uid="{D2B8C28C-5421-49AE-9368-247163A950D0}"/>
    <cellStyle name="20% - Accent5 4 2 4" xfId="9171" xr:uid="{ADA828B8-420E-40C1-8C6B-A5E3150EBEE0}"/>
    <cellStyle name="20% - Accent5 4 3" xfId="1063" xr:uid="{00000000-0005-0000-0000-0000FF020000}"/>
    <cellStyle name="20% - Accent5 4 3 2" xfId="3294" xr:uid="{00000000-0005-0000-0000-000000030000}"/>
    <cellStyle name="20% - Accent5 4 3 2 2" xfId="7518" xr:uid="{00000000-0005-0000-0000-000001030000}"/>
    <cellStyle name="20% - Accent5 4 3 2 2 2" xfId="15947" xr:uid="{324406E2-3D21-42D0-9F8E-5045BF7A6935}"/>
    <cellStyle name="20% - Accent5 4 3 2 3" xfId="11729" xr:uid="{A73BAA3E-4046-48DB-8444-3B9CD43383A7}"/>
    <cellStyle name="20% - Accent5 4 3 3" xfId="5373" xr:uid="{00000000-0005-0000-0000-000002030000}"/>
    <cellStyle name="20% - Accent5 4 3 3 2" xfId="13802" xr:uid="{41E9A889-BAE8-483E-BB0B-AC6856A56DA9}"/>
    <cellStyle name="20% - Accent5 4 3 4" xfId="9584" xr:uid="{5232BBBC-411F-48F5-9713-A7951A3D1952}"/>
    <cellStyle name="20% - Accent5 4 4" xfId="1477" xr:uid="{00000000-0005-0000-0000-000003030000}"/>
    <cellStyle name="20% - Accent5 4 4 2" xfId="3707" xr:uid="{00000000-0005-0000-0000-000004030000}"/>
    <cellStyle name="20% - Accent5 4 4 2 2" xfId="7931" xr:uid="{00000000-0005-0000-0000-000005030000}"/>
    <cellStyle name="20% - Accent5 4 4 2 2 2" xfId="16360" xr:uid="{11DB68C5-9312-4F69-BFA0-907DA18B306F}"/>
    <cellStyle name="20% - Accent5 4 4 2 3" xfId="12142" xr:uid="{6AFFBB0C-CB15-4972-801C-296A8A0173CA}"/>
    <cellStyle name="20% - Accent5 4 4 3" xfId="5786" xr:uid="{00000000-0005-0000-0000-000006030000}"/>
    <cellStyle name="20% - Accent5 4 4 3 2" xfId="14215" xr:uid="{7D7DCC98-6A85-4721-9AC7-5C7E0CEBF7BA}"/>
    <cellStyle name="20% - Accent5 4 4 4" xfId="9997" xr:uid="{2C01939E-BB36-4FC4-9E41-8E680ED7D81D}"/>
    <cellStyle name="20% - Accent5 4 5" xfId="1891" xr:uid="{00000000-0005-0000-0000-000007030000}"/>
    <cellStyle name="20% - Accent5 4 5 2" xfId="4120" xr:uid="{00000000-0005-0000-0000-000008030000}"/>
    <cellStyle name="20% - Accent5 4 5 2 2" xfId="8344" xr:uid="{00000000-0005-0000-0000-000009030000}"/>
    <cellStyle name="20% - Accent5 4 5 2 2 2" xfId="16773" xr:uid="{30E88B6C-D4E8-44EC-83FB-7E1D11838639}"/>
    <cellStyle name="20% - Accent5 4 5 2 3" xfId="12555" xr:uid="{FA51C9C8-E311-4652-9BDD-A824C2D30EF4}"/>
    <cellStyle name="20% - Accent5 4 5 3" xfId="6199" xr:uid="{00000000-0005-0000-0000-00000A030000}"/>
    <cellStyle name="20% - Accent5 4 5 3 2" xfId="14628" xr:uid="{C340D1E9-70E6-49A0-AA66-C36E00104B37}"/>
    <cellStyle name="20% - Accent5 4 5 4" xfId="10410" xr:uid="{D0AF978A-27A0-46AB-982D-3BEC20C7DF87}"/>
    <cellStyle name="20% - Accent5 4 6" xfId="2304" xr:uid="{00000000-0005-0000-0000-00000B030000}"/>
    <cellStyle name="20% - Accent5 4 6 2" xfId="6612" xr:uid="{00000000-0005-0000-0000-00000C030000}"/>
    <cellStyle name="20% - Accent5 4 6 2 2" xfId="15041" xr:uid="{66FA79FD-5538-4C4E-B281-C59487282547}"/>
    <cellStyle name="20% - Accent5 4 6 3" xfId="10823" xr:uid="{0ED623D3-2852-4098-B940-A90D9F98583D}"/>
    <cellStyle name="20% - Accent5 4 7" xfId="4546" xr:uid="{00000000-0005-0000-0000-00000D030000}"/>
    <cellStyle name="20% - Accent5 4 7 2" xfId="12975" xr:uid="{1AB272FD-FC5A-4517-AA96-03CE4CC2DEE8}"/>
    <cellStyle name="20% - Accent5 4 8" xfId="8757" xr:uid="{9F8A167F-A9FA-4DC7-8B44-53DA0772C503}"/>
    <cellStyle name="20% - Accent5 5" xfId="603" xr:uid="{00000000-0005-0000-0000-00000E030000}"/>
    <cellStyle name="20% - Accent5 5 2" xfId="2874" xr:uid="{00000000-0005-0000-0000-00000F030000}"/>
    <cellStyle name="20% - Accent5 5 2 2" xfId="7098" xr:uid="{00000000-0005-0000-0000-000010030000}"/>
    <cellStyle name="20% - Accent5 5 2 2 2" xfId="15527" xr:uid="{DEFEAF49-1104-4866-A006-AB4772CEDFB5}"/>
    <cellStyle name="20% - Accent5 5 2 3" xfId="11309" xr:uid="{0C158E4B-0517-455F-ACBC-F4FD64109BC0}"/>
    <cellStyle name="20% - Accent5 5 3" xfId="4953" xr:uid="{00000000-0005-0000-0000-000011030000}"/>
    <cellStyle name="20% - Accent5 5 3 2" xfId="13382" xr:uid="{30CFE628-8D22-4FC6-9C97-4BB963F049B4}"/>
    <cellStyle name="20% - Accent5 5 4" xfId="9164" xr:uid="{2B341DD9-7731-48F1-96CE-146DCE77CF4A}"/>
    <cellStyle name="20% - Accent5 6" xfId="1056" xr:uid="{00000000-0005-0000-0000-000012030000}"/>
    <cellStyle name="20% - Accent5 6 2" xfId="3287" xr:uid="{00000000-0005-0000-0000-000013030000}"/>
    <cellStyle name="20% - Accent5 6 2 2" xfId="7511" xr:uid="{00000000-0005-0000-0000-000014030000}"/>
    <cellStyle name="20% - Accent5 6 2 2 2" xfId="15940" xr:uid="{4091A6FF-EE2A-422C-9689-F6705F287718}"/>
    <cellStyle name="20% - Accent5 6 2 3" xfId="11722" xr:uid="{DED56D97-9417-411E-9473-7BC6B1960AF9}"/>
    <cellStyle name="20% - Accent5 6 3" xfId="5366" xr:uid="{00000000-0005-0000-0000-000015030000}"/>
    <cellStyle name="20% - Accent5 6 3 2" xfId="13795" xr:uid="{7915D2B3-D6FB-4FBB-80CA-E30F1E275C3A}"/>
    <cellStyle name="20% - Accent5 6 4" xfId="9577" xr:uid="{599F413A-D38A-45FA-B1AB-7ECA216561FE}"/>
    <cellStyle name="20% - Accent5 7" xfId="1470" xr:uid="{00000000-0005-0000-0000-000016030000}"/>
    <cellStyle name="20% - Accent5 7 2" xfId="3700" xr:uid="{00000000-0005-0000-0000-000017030000}"/>
    <cellStyle name="20% - Accent5 7 2 2" xfId="7924" xr:uid="{00000000-0005-0000-0000-000018030000}"/>
    <cellStyle name="20% - Accent5 7 2 2 2" xfId="16353" xr:uid="{651743F4-F08D-4781-84DD-6DE0BCD2A626}"/>
    <cellStyle name="20% - Accent5 7 2 3" xfId="12135" xr:uid="{C79319CC-05D1-4FE3-8BB4-86C1F72D7A54}"/>
    <cellStyle name="20% - Accent5 7 3" xfId="5779" xr:uid="{00000000-0005-0000-0000-000019030000}"/>
    <cellStyle name="20% - Accent5 7 3 2" xfId="14208" xr:uid="{1599CECE-924E-40F7-9081-E68970CF3C29}"/>
    <cellStyle name="20% - Accent5 7 4" xfId="9990" xr:uid="{F32722A0-63B5-428A-A184-B1BABA2FDEC2}"/>
    <cellStyle name="20% - Accent5 8" xfId="1884" xr:uid="{00000000-0005-0000-0000-00001A030000}"/>
    <cellStyle name="20% - Accent5 8 2" xfId="4113" xr:uid="{00000000-0005-0000-0000-00001B030000}"/>
    <cellStyle name="20% - Accent5 8 2 2" xfId="8337" xr:uid="{00000000-0005-0000-0000-00001C030000}"/>
    <cellStyle name="20% - Accent5 8 2 2 2" xfId="16766" xr:uid="{56BAE69A-A83E-41B5-B462-26B95918B1C6}"/>
    <cellStyle name="20% - Accent5 8 2 3" xfId="12548" xr:uid="{C0AAF17D-5289-44BF-BDD4-43A0BCFAFE17}"/>
    <cellStyle name="20% - Accent5 8 3" xfId="6192" xr:uid="{00000000-0005-0000-0000-00001D030000}"/>
    <cellStyle name="20% - Accent5 8 3 2" xfId="14621" xr:uid="{94DDC0F6-FC71-4650-8FE0-E5D4C41C0B31}"/>
    <cellStyle name="20% - Accent5 8 4" xfId="10403" xr:uid="{D095962B-54D2-44ED-B819-2C783177DDEA}"/>
    <cellStyle name="20% - Accent5 9" xfId="2297" xr:uid="{00000000-0005-0000-0000-00001E030000}"/>
    <cellStyle name="20% - Accent5 9 2" xfId="6605" xr:uid="{00000000-0005-0000-0000-00001F030000}"/>
    <cellStyle name="20% - Accent5 9 2 2" xfId="15034" xr:uid="{E064C706-17FF-4FA0-8A56-58A4FFC37547}"/>
    <cellStyle name="20% - Accent5 9 3" xfId="10816" xr:uid="{0B66F57E-D3E0-4833-98F8-D70BE2364E64}"/>
    <cellStyle name="20% - Accent6" xfId="41" builtinId="50" customBuiltin="1"/>
    <cellStyle name="20% - Accent6 10" xfId="4547" xr:uid="{00000000-0005-0000-0000-000021030000}"/>
    <cellStyle name="20% - Accent6 10 2" xfId="12976" xr:uid="{43A2DC7F-A975-40C4-8424-B786A4B7F960}"/>
    <cellStyle name="20% - Accent6 11" xfId="8758" xr:uid="{5EEC7C63-CF85-46C1-95AE-F232D1973802}"/>
    <cellStyle name="20% - Accent6 2" xfId="42" xr:uid="{00000000-0005-0000-0000-000022030000}"/>
    <cellStyle name="20% - Accent6 2 10" xfId="8759" xr:uid="{AADEDB10-E0A7-44AB-B407-6B1D1262A15B}"/>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2 2" xfId="15538" xr:uid="{CFD0391E-6778-473C-9351-DC09AE284A7D}"/>
    <cellStyle name="20% - Accent6 2 2 2 2 2 3" xfId="11320" xr:uid="{1981EB2D-5ECB-42CA-A6F1-A3D492BB035A}"/>
    <cellStyle name="20% - Accent6 2 2 2 2 3" xfId="4964" xr:uid="{00000000-0005-0000-0000-000028030000}"/>
    <cellStyle name="20% - Accent6 2 2 2 2 3 2" xfId="13393" xr:uid="{81353147-452E-418D-BC48-4CE4F71A5252}"/>
    <cellStyle name="20% - Accent6 2 2 2 2 4" xfId="9175" xr:uid="{C4653C94-6A88-456C-9C0B-9959018E825B}"/>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2 2" xfId="15951" xr:uid="{AFB178A6-51E9-4B3B-8CF6-DBD5D82B85EB}"/>
    <cellStyle name="20% - Accent6 2 2 2 3 2 3" xfId="11733" xr:uid="{4F9B574F-8128-407D-A8AA-A97423FC34B7}"/>
    <cellStyle name="20% - Accent6 2 2 2 3 3" xfId="5377" xr:uid="{00000000-0005-0000-0000-00002C030000}"/>
    <cellStyle name="20% - Accent6 2 2 2 3 3 2" xfId="13806" xr:uid="{2013FB6C-FE37-4C7D-AFF9-91B13A96243B}"/>
    <cellStyle name="20% - Accent6 2 2 2 3 4" xfId="9588" xr:uid="{32198477-A919-42FE-8403-93BF0D03A106}"/>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2 2" xfId="16364" xr:uid="{AFE61591-71A3-477E-8FB3-13F514AE6FB3}"/>
    <cellStyle name="20% - Accent6 2 2 2 4 2 3" xfId="12146" xr:uid="{9DD65FD8-F28D-4065-9028-AFAC562EF58D}"/>
    <cellStyle name="20% - Accent6 2 2 2 4 3" xfId="5790" xr:uid="{00000000-0005-0000-0000-000030030000}"/>
    <cellStyle name="20% - Accent6 2 2 2 4 3 2" xfId="14219" xr:uid="{B192F77B-835F-451D-871C-4B83F19DCEB5}"/>
    <cellStyle name="20% - Accent6 2 2 2 4 4" xfId="10001" xr:uid="{A4B68FF9-4173-4DBD-9659-C9D90AE53269}"/>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2 2" xfId="16777" xr:uid="{9A845A3F-A9A3-4ABF-BAB7-83209EC0927B}"/>
    <cellStyle name="20% - Accent6 2 2 2 5 2 3" xfId="12559" xr:uid="{29F085EE-6D8D-47CA-A2DD-CA7716E4869D}"/>
    <cellStyle name="20% - Accent6 2 2 2 5 3" xfId="6203" xr:uid="{00000000-0005-0000-0000-000034030000}"/>
    <cellStyle name="20% - Accent6 2 2 2 5 3 2" xfId="14632" xr:uid="{473C24E4-E19E-4B6D-A3EF-35AE26076E16}"/>
    <cellStyle name="20% - Accent6 2 2 2 5 4" xfId="10414" xr:uid="{D77CC7CB-7F61-4BC0-8D8D-C9E96518A237}"/>
    <cellStyle name="20% - Accent6 2 2 2 6" xfId="2308" xr:uid="{00000000-0005-0000-0000-000035030000}"/>
    <cellStyle name="20% - Accent6 2 2 2 6 2" xfId="6616" xr:uid="{00000000-0005-0000-0000-000036030000}"/>
    <cellStyle name="20% - Accent6 2 2 2 6 2 2" xfId="15045" xr:uid="{6A4610EC-1CCB-4451-9465-8C383C046812}"/>
    <cellStyle name="20% - Accent6 2 2 2 6 3" xfId="10827" xr:uid="{7E030C7D-9E05-418E-BD72-F9FBD3BBED44}"/>
    <cellStyle name="20% - Accent6 2 2 2 7" xfId="4550" xr:uid="{00000000-0005-0000-0000-000037030000}"/>
    <cellStyle name="20% - Accent6 2 2 2 7 2" xfId="12979" xr:uid="{019470E8-9176-4BF3-807C-32505E4E2729}"/>
    <cellStyle name="20% - Accent6 2 2 2 8" xfId="8761" xr:uid="{33F42805-37E1-4A46-B67F-402FF2F38454}"/>
    <cellStyle name="20% - Accent6 2 2 3" xfId="613" xr:uid="{00000000-0005-0000-0000-000038030000}"/>
    <cellStyle name="20% - Accent6 2 2 3 2" xfId="2884" xr:uid="{00000000-0005-0000-0000-000039030000}"/>
    <cellStyle name="20% - Accent6 2 2 3 2 2" xfId="7108" xr:uid="{00000000-0005-0000-0000-00003A030000}"/>
    <cellStyle name="20% - Accent6 2 2 3 2 2 2" xfId="15537" xr:uid="{E529CD31-F682-44BC-A371-D7C1DE43161A}"/>
    <cellStyle name="20% - Accent6 2 2 3 2 3" xfId="11319" xr:uid="{7F380C0D-900A-474B-8985-2CC9335D85C7}"/>
    <cellStyle name="20% - Accent6 2 2 3 3" xfId="4963" xr:uid="{00000000-0005-0000-0000-00003B030000}"/>
    <cellStyle name="20% - Accent6 2 2 3 3 2" xfId="13392" xr:uid="{27B37105-78D3-4475-8A40-7662439A3A87}"/>
    <cellStyle name="20% - Accent6 2 2 3 4" xfId="9174" xr:uid="{D243D611-388F-465D-8DC3-D11E6AF1AB85}"/>
    <cellStyle name="20% - Accent6 2 2 4" xfId="1066" xr:uid="{00000000-0005-0000-0000-00003C030000}"/>
    <cellStyle name="20% - Accent6 2 2 4 2" xfId="3297" xr:uid="{00000000-0005-0000-0000-00003D030000}"/>
    <cellStyle name="20% - Accent6 2 2 4 2 2" xfId="7521" xr:uid="{00000000-0005-0000-0000-00003E030000}"/>
    <cellStyle name="20% - Accent6 2 2 4 2 2 2" xfId="15950" xr:uid="{9ED4B3E7-83A2-452F-8760-FA5D63B07ED7}"/>
    <cellStyle name="20% - Accent6 2 2 4 2 3" xfId="11732" xr:uid="{1A2617BF-27D9-4F02-B018-F4D2AC16DA71}"/>
    <cellStyle name="20% - Accent6 2 2 4 3" xfId="5376" xr:uid="{00000000-0005-0000-0000-00003F030000}"/>
    <cellStyle name="20% - Accent6 2 2 4 3 2" xfId="13805" xr:uid="{09DDDDC8-4C7C-4105-967C-A3F9827D83BD}"/>
    <cellStyle name="20% - Accent6 2 2 4 4" xfId="9587" xr:uid="{057F54F3-61C0-44CF-915E-C550AAC8F617}"/>
    <cellStyle name="20% - Accent6 2 2 5" xfId="1480" xr:uid="{00000000-0005-0000-0000-000040030000}"/>
    <cellStyle name="20% - Accent6 2 2 5 2" xfId="3710" xr:uid="{00000000-0005-0000-0000-000041030000}"/>
    <cellStyle name="20% - Accent6 2 2 5 2 2" xfId="7934" xr:uid="{00000000-0005-0000-0000-000042030000}"/>
    <cellStyle name="20% - Accent6 2 2 5 2 2 2" xfId="16363" xr:uid="{5B3F4706-5F8B-4435-BF01-6EC97DD2AB5A}"/>
    <cellStyle name="20% - Accent6 2 2 5 2 3" xfId="12145" xr:uid="{5830BF03-4295-48C9-B22C-EFBC24895531}"/>
    <cellStyle name="20% - Accent6 2 2 5 3" xfId="5789" xr:uid="{00000000-0005-0000-0000-000043030000}"/>
    <cellStyle name="20% - Accent6 2 2 5 3 2" xfId="14218" xr:uid="{3BFB5D5E-EFE9-4CE3-A6EE-3438B342B6EE}"/>
    <cellStyle name="20% - Accent6 2 2 5 4" xfId="10000" xr:uid="{C3935B7A-8BA6-4AB8-B2C1-430C8DF550EB}"/>
    <cellStyle name="20% - Accent6 2 2 6" xfId="1894" xr:uid="{00000000-0005-0000-0000-000044030000}"/>
    <cellStyle name="20% - Accent6 2 2 6 2" xfId="4123" xr:uid="{00000000-0005-0000-0000-000045030000}"/>
    <cellStyle name="20% - Accent6 2 2 6 2 2" xfId="8347" xr:uid="{00000000-0005-0000-0000-000046030000}"/>
    <cellStyle name="20% - Accent6 2 2 6 2 2 2" xfId="16776" xr:uid="{561F0D9A-9810-4F15-967E-6545C8BA6266}"/>
    <cellStyle name="20% - Accent6 2 2 6 2 3" xfId="12558" xr:uid="{A9933A7B-88AC-415F-9845-A122AABE3EF6}"/>
    <cellStyle name="20% - Accent6 2 2 6 3" xfId="6202" xr:uid="{00000000-0005-0000-0000-000047030000}"/>
    <cellStyle name="20% - Accent6 2 2 6 3 2" xfId="14631" xr:uid="{0935F83C-845D-4B9A-B766-43033BE7E41E}"/>
    <cellStyle name="20% - Accent6 2 2 6 4" xfId="10413" xr:uid="{E488BC93-FB55-4B0C-97C4-72BBE3691816}"/>
    <cellStyle name="20% - Accent6 2 2 7" xfId="2307" xr:uid="{00000000-0005-0000-0000-000048030000}"/>
    <cellStyle name="20% - Accent6 2 2 7 2" xfId="6615" xr:uid="{00000000-0005-0000-0000-000049030000}"/>
    <cellStyle name="20% - Accent6 2 2 7 2 2" xfId="15044" xr:uid="{A4632659-348D-4788-AC4B-CB1F73CFE825}"/>
    <cellStyle name="20% - Accent6 2 2 7 3" xfId="10826" xr:uid="{10BE7E06-8842-4F5A-91C7-9817451041F3}"/>
    <cellStyle name="20% - Accent6 2 2 8" xfId="4549" xr:uid="{00000000-0005-0000-0000-00004A030000}"/>
    <cellStyle name="20% - Accent6 2 2 8 2" xfId="12978" xr:uid="{CDED0C2A-2C73-419E-896A-4F4936111D64}"/>
    <cellStyle name="20% - Accent6 2 2 9" xfId="8760" xr:uid="{1868256D-88CF-45F5-88AF-3CD8A423C561}"/>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2 2" xfId="15539" xr:uid="{D003244E-2C06-4789-BC67-3AA74ECAA15E}"/>
    <cellStyle name="20% - Accent6 2 3 2 2 3" xfId="11321" xr:uid="{36288E8A-A71F-48F1-80FE-90682B58B387}"/>
    <cellStyle name="20% - Accent6 2 3 2 3" xfId="4965" xr:uid="{00000000-0005-0000-0000-00004F030000}"/>
    <cellStyle name="20% - Accent6 2 3 2 3 2" xfId="13394" xr:uid="{F40A2256-1D2D-4BBE-8615-989F79BE4DBD}"/>
    <cellStyle name="20% - Accent6 2 3 2 4" xfId="9176" xr:uid="{EEA77E53-0221-4873-B8DA-C451E54D1FD6}"/>
    <cellStyle name="20% - Accent6 2 3 3" xfId="1068" xr:uid="{00000000-0005-0000-0000-000050030000}"/>
    <cellStyle name="20% - Accent6 2 3 3 2" xfId="3299" xr:uid="{00000000-0005-0000-0000-000051030000}"/>
    <cellStyle name="20% - Accent6 2 3 3 2 2" xfId="7523" xr:uid="{00000000-0005-0000-0000-000052030000}"/>
    <cellStyle name="20% - Accent6 2 3 3 2 2 2" xfId="15952" xr:uid="{BB9E021B-2411-4D6D-8BAD-A1362AD3DC67}"/>
    <cellStyle name="20% - Accent6 2 3 3 2 3" xfId="11734" xr:uid="{A57DAAA4-F151-47A1-9096-E5D4AD6CD275}"/>
    <cellStyle name="20% - Accent6 2 3 3 3" xfId="5378" xr:uid="{00000000-0005-0000-0000-000053030000}"/>
    <cellStyle name="20% - Accent6 2 3 3 3 2" xfId="13807" xr:uid="{1EABCDE5-7DB5-4F94-9D57-50601B37FEF3}"/>
    <cellStyle name="20% - Accent6 2 3 3 4" xfId="9589" xr:uid="{DEABD06B-C6E2-44B3-87DB-5C61CC02A910}"/>
    <cellStyle name="20% - Accent6 2 3 4" xfId="1482" xr:uid="{00000000-0005-0000-0000-000054030000}"/>
    <cellStyle name="20% - Accent6 2 3 4 2" xfId="3712" xr:uid="{00000000-0005-0000-0000-000055030000}"/>
    <cellStyle name="20% - Accent6 2 3 4 2 2" xfId="7936" xr:uid="{00000000-0005-0000-0000-000056030000}"/>
    <cellStyle name="20% - Accent6 2 3 4 2 2 2" xfId="16365" xr:uid="{65662E2F-3C8F-4C52-B490-3408DA472A6A}"/>
    <cellStyle name="20% - Accent6 2 3 4 2 3" xfId="12147" xr:uid="{30D24351-0754-4329-BCE6-FDD041147A8D}"/>
    <cellStyle name="20% - Accent6 2 3 4 3" xfId="5791" xr:uid="{00000000-0005-0000-0000-000057030000}"/>
    <cellStyle name="20% - Accent6 2 3 4 3 2" xfId="14220" xr:uid="{E4177690-6B2A-4C28-A777-C782C3649AE9}"/>
    <cellStyle name="20% - Accent6 2 3 4 4" xfId="10002" xr:uid="{F1AF0EE5-7DF0-46B0-83E7-4CE4E499947D}"/>
    <cellStyle name="20% - Accent6 2 3 5" xfId="1896" xr:uid="{00000000-0005-0000-0000-000058030000}"/>
    <cellStyle name="20% - Accent6 2 3 5 2" xfId="4125" xr:uid="{00000000-0005-0000-0000-000059030000}"/>
    <cellStyle name="20% - Accent6 2 3 5 2 2" xfId="8349" xr:uid="{00000000-0005-0000-0000-00005A030000}"/>
    <cellStyle name="20% - Accent6 2 3 5 2 2 2" xfId="16778" xr:uid="{B26438DB-BFDC-4C00-9C22-5DC91BE23CC7}"/>
    <cellStyle name="20% - Accent6 2 3 5 2 3" xfId="12560" xr:uid="{4E3FFF13-3DA3-404D-855A-3C3E9A553281}"/>
    <cellStyle name="20% - Accent6 2 3 5 3" xfId="6204" xr:uid="{00000000-0005-0000-0000-00005B030000}"/>
    <cellStyle name="20% - Accent6 2 3 5 3 2" xfId="14633" xr:uid="{3FF188D0-33A9-4A7C-B8F4-8810646F2FC2}"/>
    <cellStyle name="20% - Accent6 2 3 5 4" xfId="10415" xr:uid="{AE83FF07-078F-45A0-B263-5B895E1857D2}"/>
    <cellStyle name="20% - Accent6 2 3 6" xfId="2309" xr:uid="{00000000-0005-0000-0000-00005C030000}"/>
    <cellStyle name="20% - Accent6 2 3 6 2" xfId="6617" xr:uid="{00000000-0005-0000-0000-00005D030000}"/>
    <cellStyle name="20% - Accent6 2 3 6 2 2" xfId="15046" xr:uid="{982B921E-193E-4FE4-9D62-DEB6AD83B143}"/>
    <cellStyle name="20% - Accent6 2 3 6 3" xfId="10828" xr:uid="{3C27243D-2131-4FA9-B7A2-21D4094616DD}"/>
    <cellStyle name="20% - Accent6 2 3 7" xfId="4551" xr:uid="{00000000-0005-0000-0000-00005E030000}"/>
    <cellStyle name="20% - Accent6 2 3 7 2" xfId="12980" xr:uid="{F6513533-CA80-43F2-A7CC-3F60CDD5C976}"/>
    <cellStyle name="20% - Accent6 2 3 8" xfId="8762" xr:uid="{78C3F4D2-A887-4D61-B15E-1C3265993DA6}"/>
    <cellStyle name="20% - Accent6 2 4" xfId="612" xr:uid="{00000000-0005-0000-0000-00005F030000}"/>
    <cellStyle name="20% - Accent6 2 4 2" xfId="2883" xr:uid="{00000000-0005-0000-0000-000060030000}"/>
    <cellStyle name="20% - Accent6 2 4 2 2" xfId="7107" xr:uid="{00000000-0005-0000-0000-000061030000}"/>
    <cellStyle name="20% - Accent6 2 4 2 2 2" xfId="15536" xr:uid="{71F562AD-EE57-4C5F-9FD8-FD6BA397636D}"/>
    <cellStyle name="20% - Accent6 2 4 2 3" xfId="11318" xr:uid="{2DA3919D-B34E-44F7-98FC-A12ACFEB7589}"/>
    <cellStyle name="20% - Accent6 2 4 3" xfId="4962" xr:uid="{00000000-0005-0000-0000-000062030000}"/>
    <cellStyle name="20% - Accent6 2 4 3 2" xfId="13391" xr:uid="{8DA33524-CAD9-474A-9C85-502933AC73F1}"/>
    <cellStyle name="20% - Accent6 2 4 4" xfId="9173" xr:uid="{5A15C546-6B29-4700-9709-F0470C7EBC9C}"/>
    <cellStyle name="20% - Accent6 2 5" xfId="1065" xr:uid="{00000000-0005-0000-0000-000063030000}"/>
    <cellStyle name="20% - Accent6 2 5 2" xfId="3296" xr:uid="{00000000-0005-0000-0000-000064030000}"/>
    <cellStyle name="20% - Accent6 2 5 2 2" xfId="7520" xr:uid="{00000000-0005-0000-0000-000065030000}"/>
    <cellStyle name="20% - Accent6 2 5 2 2 2" xfId="15949" xr:uid="{627D0293-6EDC-4D13-8A3B-148C305037FA}"/>
    <cellStyle name="20% - Accent6 2 5 2 3" xfId="11731" xr:uid="{3C2B30E8-BC8E-4F3D-B5C4-BD4E3D240E0E}"/>
    <cellStyle name="20% - Accent6 2 5 3" xfId="5375" xr:uid="{00000000-0005-0000-0000-000066030000}"/>
    <cellStyle name="20% - Accent6 2 5 3 2" xfId="13804" xr:uid="{AB98B5A7-93AA-4B67-A8B7-7A4F2747E942}"/>
    <cellStyle name="20% - Accent6 2 5 4" xfId="9586" xr:uid="{F683C7BF-8DF4-46CA-9E63-8BED4C536F01}"/>
    <cellStyle name="20% - Accent6 2 6" xfId="1479" xr:uid="{00000000-0005-0000-0000-000067030000}"/>
    <cellStyle name="20% - Accent6 2 6 2" xfId="3709" xr:uid="{00000000-0005-0000-0000-000068030000}"/>
    <cellStyle name="20% - Accent6 2 6 2 2" xfId="7933" xr:uid="{00000000-0005-0000-0000-000069030000}"/>
    <cellStyle name="20% - Accent6 2 6 2 2 2" xfId="16362" xr:uid="{7913E9C7-43A8-411C-9D4F-F992B019F980}"/>
    <cellStyle name="20% - Accent6 2 6 2 3" xfId="12144" xr:uid="{DF71F9B3-A7D5-4206-9CD1-92185753CDEE}"/>
    <cellStyle name="20% - Accent6 2 6 3" xfId="5788" xr:uid="{00000000-0005-0000-0000-00006A030000}"/>
    <cellStyle name="20% - Accent6 2 6 3 2" xfId="14217" xr:uid="{D708A3F7-FE0D-4370-9A5D-8C1D02EB095E}"/>
    <cellStyle name="20% - Accent6 2 6 4" xfId="9999" xr:uid="{74D3AF35-C869-4826-943B-EAA1D602B5E4}"/>
    <cellStyle name="20% - Accent6 2 7" xfId="1893" xr:uid="{00000000-0005-0000-0000-00006B030000}"/>
    <cellStyle name="20% - Accent6 2 7 2" xfId="4122" xr:uid="{00000000-0005-0000-0000-00006C030000}"/>
    <cellStyle name="20% - Accent6 2 7 2 2" xfId="8346" xr:uid="{00000000-0005-0000-0000-00006D030000}"/>
    <cellStyle name="20% - Accent6 2 7 2 2 2" xfId="16775" xr:uid="{A9C7B3C6-520C-412D-8FC2-4393410E7B64}"/>
    <cellStyle name="20% - Accent6 2 7 2 3" xfId="12557" xr:uid="{18C8E012-8A6C-493E-AC08-67E92819C263}"/>
    <cellStyle name="20% - Accent6 2 7 3" xfId="6201" xr:uid="{00000000-0005-0000-0000-00006E030000}"/>
    <cellStyle name="20% - Accent6 2 7 3 2" xfId="14630" xr:uid="{36A65F46-1C45-4488-BAED-1B16FD9ABD27}"/>
    <cellStyle name="20% - Accent6 2 7 4" xfId="10412" xr:uid="{4B589447-2CEA-413B-8A57-551C608729FF}"/>
    <cellStyle name="20% - Accent6 2 8" xfId="2306" xr:uid="{00000000-0005-0000-0000-00006F030000}"/>
    <cellStyle name="20% - Accent6 2 8 2" xfId="6614" xr:uid="{00000000-0005-0000-0000-000070030000}"/>
    <cellStyle name="20% - Accent6 2 8 2 2" xfId="15043" xr:uid="{8AC1A217-D329-4161-BE38-3AEAAD8379CA}"/>
    <cellStyle name="20% - Accent6 2 8 3" xfId="10825" xr:uid="{DE1535F4-0CC0-4489-9B26-577AA52C3DAD}"/>
    <cellStyle name="20% - Accent6 2 9" xfId="4548" xr:uid="{00000000-0005-0000-0000-000071030000}"/>
    <cellStyle name="20% - Accent6 2 9 2" xfId="12977" xr:uid="{FDFBBFF6-3BB6-463B-908F-A63B3DF6456F}"/>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2 2" xfId="15541" xr:uid="{8DB946F4-C6D8-44ED-96FB-28241FF64B1B}"/>
    <cellStyle name="20% - Accent6 3 2 2 2 3" xfId="11323" xr:uid="{8302BA7D-1FA0-4FE3-82D0-74DE9EB3DCE3}"/>
    <cellStyle name="20% - Accent6 3 2 2 3" xfId="4967" xr:uid="{00000000-0005-0000-0000-000077030000}"/>
    <cellStyle name="20% - Accent6 3 2 2 3 2" xfId="13396" xr:uid="{D26D97F7-F06E-4F40-B5CF-4E0DEA3724A4}"/>
    <cellStyle name="20% - Accent6 3 2 2 4" xfId="9178" xr:uid="{B9B9A8EA-697D-430E-8A9C-8361CDEFA28E}"/>
    <cellStyle name="20% - Accent6 3 2 3" xfId="1070" xr:uid="{00000000-0005-0000-0000-000078030000}"/>
    <cellStyle name="20% - Accent6 3 2 3 2" xfId="3301" xr:uid="{00000000-0005-0000-0000-000079030000}"/>
    <cellStyle name="20% - Accent6 3 2 3 2 2" xfId="7525" xr:uid="{00000000-0005-0000-0000-00007A030000}"/>
    <cellStyle name="20% - Accent6 3 2 3 2 2 2" xfId="15954" xr:uid="{3F5F4570-A091-4328-A799-FC2D61C86D2A}"/>
    <cellStyle name="20% - Accent6 3 2 3 2 3" xfId="11736" xr:uid="{305069B0-D427-465B-BCEF-D9874812F397}"/>
    <cellStyle name="20% - Accent6 3 2 3 3" xfId="5380" xr:uid="{00000000-0005-0000-0000-00007B030000}"/>
    <cellStyle name="20% - Accent6 3 2 3 3 2" xfId="13809" xr:uid="{0E5C37AE-8C27-4786-82FC-D42D9EDBA718}"/>
    <cellStyle name="20% - Accent6 3 2 3 4" xfId="9591" xr:uid="{CE3040DA-B273-4DA6-A4E4-43F1615839AE}"/>
    <cellStyle name="20% - Accent6 3 2 4" xfId="1484" xr:uid="{00000000-0005-0000-0000-00007C030000}"/>
    <cellStyle name="20% - Accent6 3 2 4 2" xfId="3714" xr:uid="{00000000-0005-0000-0000-00007D030000}"/>
    <cellStyle name="20% - Accent6 3 2 4 2 2" xfId="7938" xr:uid="{00000000-0005-0000-0000-00007E030000}"/>
    <cellStyle name="20% - Accent6 3 2 4 2 2 2" xfId="16367" xr:uid="{682E9BDE-F647-41EF-85D1-143715C37314}"/>
    <cellStyle name="20% - Accent6 3 2 4 2 3" xfId="12149" xr:uid="{084F837E-790D-4980-91C9-AF7AB8836C2C}"/>
    <cellStyle name="20% - Accent6 3 2 4 3" xfId="5793" xr:uid="{00000000-0005-0000-0000-00007F030000}"/>
    <cellStyle name="20% - Accent6 3 2 4 3 2" xfId="14222" xr:uid="{E4C59960-55E2-4550-84D9-56728FCACA30}"/>
    <cellStyle name="20% - Accent6 3 2 4 4" xfId="10004" xr:uid="{6A4AE485-D280-4AED-A7D4-8E85CCFCADD6}"/>
    <cellStyle name="20% - Accent6 3 2 5" xfId="1898" xr:uid="{00000000-0005-0000-0000-000080030000}"/>
    <cellStyle name="20% - Accent6 3 2 5 2" xfId="4127" xr:uid="{00000000-0005-0000-0000-000081030000}"/>
    <cellStyle name="20% - Accent6 3 2 5 2 2" xfId="8351" xr:uid="{00000000-0005-0000-0000-000082030000}"/>
    <cellStyle name="20% - Accent6 3 2 5 2 2 2" xfId="16780" xr:uid="{83B26662-26FE-4608-B9FA-C8FECF308679}"/>
    <cellStyle name="20% - Accent6 3 2 5 2 3" xfId="12562" xr:uid="{0C3B7066-6E3A-4219-B347-45B6FCA16E40}"/>
    <cellStyle name="20% - Accent6 3 2 5 3" xfId="6206" xr:uid="{00000000-0005-0000-0000-000083030000}"/>
    <cellStyle name="20% - Accent6 3 2 5 3 2" xfId="14635" xr:uid="{BB28F9F9-ABF7-4794-8077-7CAA8F942709}"/>
    <cellStyle name="20% - Accent6 3 2 5 4" xfId="10417" xr:uid="{0A83B385-135D-40A0-9E91-9DB77DB1EC59}"/>
    <cellStyle name="20% - Accent6 3 2 6" xfId="2311" xr:uid="{00000000-0005-0000-0000-000084030000}"/>
    <cellStyle name="20% - Accent6 3 2 6 2" xfId="6619" xr:uid="{00000000-0005-0000-0000-000085030000}"/>
    <cellStyle name="20% - Accent6 3 2 6 2 2" xfId="15048" xr:uid="{76B70A87-AA7D-41EF-9519-9FD918C357C9}"/>
    <cellStyle name="20% - Accent6 3 2 6 3" xfId="10830" xr:uid="{5EED2918-4155-4A86-B9B5-F794CC6A7E14}"/>
    <cellStyle name="20% - Accent6 3 2 7" xfId="4553" xr:uid="{00000000-0005-0000-0000-000086030000}"/>
    <cellStyle name="20% - Accent6 3 2 7 2" xfId="12982" xr:uid="{7ACA2781-4BBF-4B3A-9632-0524D1EBF703}"/>
    <cellStyle name="20% - Accent6 3 2 8" xfId="8764" xr:uid="{C702D320-7404-4B2D-A184-391554C60D57}"/>
    <cellStyle name="20% - Accent6 3 3" xfId="616" xr:uid="{00000000-0005-0000-0000-000087030000}"/>
    <cellStyle name="20% - Accent6 3 3 2" xfId="2887" xr:uid="{00000000-0005-0000-0000-000088030000}"/>
    <cellStyle name="20% - Accent6 3 3 2 2" xfId="7111" xr:uid="{00000000-0005-0000-0000-000089030000}"/>
    <cellStyle name="20% - Accent6 3 3 2 2 2" xfId="15540" xr:uid="{C1DFA206-1712-41B0-B8DA-7E8A63C30515}"/>
    <cellStyle name="20% - Accent6 3 3 2 3" xfId="11322" xr:uid="{4D089740-2617-48D1-8554-7282282597D3}"/>
    <cellStyle name="20% - Accent6 3 3 3" xfId="4966" xr:uid="{00000000-0005-0000-0000-00008A030000}"/>
    <cellStyle name="20% - Accent6 3 3 3 2" xfId="13395" xr:uid="{FB726200-BD54-43B1-A7C3-392B6B588744}"/>
    <cellStyle name="20% - Accent6 3 3 4" xfId="9177" xr:uid="{B07F71D0-C08B-4998-AA15-EEA55CAEA15A}"/>
    <cellStyle name="20% - Accent6 3 4" xfId="1069" xr:uid="{00000000-0005-0000-0000-00008B030000}"/>
    <cellStyle name="20% - Accent6 3 4 2" xfId="3300" xr:uid="{00000000-0005-0000-0000-00008C030000}"/>
    <cellStyle name="20% - Accent6 3 4 2 2" xfId="7524" xr:uid="{00000000-0005-0000-0000-00008D030000}"/>
    <cellStyle name="20% - Accent6 3 4 2 2 2" xfId="15953" xr:uid="{689B6A0D-42F9-470E-BC89-4C03822425B0}"/>
    <cellStyle name="20% - Accent6 3 4 2 3" xfId="11735" xr:uid="{B9F57F4F-7815-41C2-9FB8-FFAE2B304ADB}"/>
    <cellStyle name="20% - Accent6 3 4 3" xfId="5379" xr:uid="{00000000-0005-0000-0000-00008E030000}"/>
    <cellStyle name="20% - Accent6 3 4 3 2" xfId="13808" xr:uid="{4EB02A5F-FD98-4968-9F8C-B63148BF41FF}"/>
    <cellStyle name="20% - Accent6 3 4 4" xfId="9590" xr:uid="{A03A0133-F005-4F2F-9A3A-E899C9AAA8D5}"/>
    <cellStyle name="20% - Accent6 3 5" xfId="1483" xr:uid="{00000000-0005-0000-0000-00008F030000}"/>
    <cellStyle name="20% - Accent6 3 5 2" xfId="3713" xr:uid="{00000000-0005-0000-0000-000090030000}"/>
    <cellStyle name="20% - Accent6 3 5 2 2" xfId="7937" xr:uid="{00000000-0005-0000-0000-000091030000}"/>
    <cellStyle name="20% - Accent6 3 5 2 2 2" xfId="16366" xr:uid="{017DFC05-9771-433D-9786-A016454432D2}"/>
    <cellStyle name="20% - Accent6 3 5 2 3" xfId="12148" xr:uid="{AB68A30E-E68F-43FA-B2E4-2F789C74EC49}"/>
    <cellStyle name="20% - Accent6 3 5 3" xfId="5792" xr:uid="{00000000-0005-0000-0000-000092030000}"/>
    <cellStyle name="20% - Accent6 3 5 3 2" xfId="14221" xr:uid="{39CACCBD-2957-4B8D-8C10-29F3B37FFE04}"/>
    <cellStyle name="20% - Accent6 3 5 4" xfId="10003" xr:uid="{1E4519D1-4D4B-483C-8125-0D38EC996C0E}"/>
    <cellStyle name="20% - Accent6 3 6" xfId="1897" xr:uid="{00000000-0005-0000-0000-000093030000}"/>
    <cellStyle name="20% - Accent6 3 6 2" xfId="4126" xr:uid="{00000000-0005-0000-0000-000094030000}"/>
    <cellStyle name="20% - Accent6 3 6 2 2" xfId="8350" xr:uid="{00000000-0005-0000-0000-000095030000}"/>
    <cellStyle name="20% - Accent6 3 6 2 2 2" xfId="16779" xr:uid="{A4596866-1CC4-4203-8176-A7CF7B5AA144}"/>
    <cellStyle name="20% - Accent6 3 6 2 3" xfId="12561" xr:uid="{B12B2B43-9DC2-4D43-B000-C05713B0BEE5}"/>
    <cellStyle name="20% - Accent6 3 6 3" xfId="6205" xr:uid="{00000000-0005-0000-0000-000096030000}"/>
    <cellStyle name="20% - Accent6 3 6 3 2" xfId="14634" xr:uid="{306DEEE6-036D-42BA-94AC-29596546CBF4}"/>
    <cellStyle name="20% - Accent6 3 6 4" xfId="10416" xr:uid="{8C95C7E9-07E2-4C11-9A97-96724715675C}"/>
    <cellStyle name="20% - Accent6 3 7" xfId="2310" xr:uid="{00000000-0005-0000-0000-000097030000}"/>
    <cellStyle name="20% - Accent6 3 7 2" xfId="6618" xr:uid="{00000000-0005-0000-0000-000098030000}"/>
    <cellStyle name="20% - Accent6 3 7 2 2" xfId="15047" xr:uid="{F436D0F4-E867-4AB5-A78A-E9F9B0E28C24}"/>
    <cellStyle name="20% - Accent6 3 7 3" xfId="10829" xr:uid="{3390B323-7C49-4B63-9A99-29D5C9205DB7}"/>
    <cellStyle name="20% - Accent6 3 8" xfId="4552" xr:uid="{00000000-0005-0000-0000-000099030000}"/>
    <cellStyle name="20% - Accent6 3 8 2" xfId="12981" xr:uid="{D469EEC5-3810-4D3B-90B3-D311863D9961}"/>
    <cellStyle name="20% - Accent6 3 9" xfId="8763" xr:uid="{AD4715E3-4D6B-4ABC-A10A-FB6CE881C24A}"/>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2 2" xfId="15542" xr:uid="{A919FC16-AD01-46C0-96F3-35042E4192D6}"/>
    <cellStyle name="20% - Accent6 4 2 2 3" xfId="11324" xr:uid="{5B4E1A34-A84E-43BC-8839-0F3E66C1938A}"/>
    <cellStyle name="20% - Accent6 4 2 3" xfId="4968" xr:uid="{00000000-0005-0000-0000-00009E030000}"/>
    <cellStyle name="20% - Accent6 4 2 3 2" xfId="13397" xr:uid="{866BE0A7-6B12-4FEB-B8F5-4E36E1ED7DA7}"/>
    <cellStyle name="20% - Accent6 4 2 4" xfId="9179" xr:uid="{EF43CFB1-3E12-4DB7-AD2C-1353CFF74A6A}"/>
    <cellStyle name="20% - Accent6 4 3" xfId="1071" xr:uid="{00000000-0005-0000-0000-00009F030000}"/>
    <cellStyle name="20% - Accent6 4 3 2" xfId="3302" xr:uid="{00000000-0005-0000-0000-0000A0030000}"/>
    <cellStyle name="20% - Accent6 4 3 2 2" xfId="7526" xr:uid="{00000000-0005-0000-0000-0000A1030000}"/>
    <cellStyle name="20% - Accent6 4 3 2 2 2" xfId="15955" xr:uid="{DD73923E-FC53-4435-8BDB-85F5D209F78C}"/>
    <cellStyle name="20% - Accent6 4 3 2 3" xfId="11737" xr:uid="{C15F8AA5-BA1A-473D-A7C0-436B5B5C2EDB}"/>
    <cellStyle name="20% - Accent6 4 3 3" xfId="5381" xr:uid="{00000000-0005-0000-0000-0000A2030000}"/>
    <cellStyle name="20% - Accent6 4 3 3 2" xfId="13810" xr:uid="{48142BD2-765F-4831-B560-507A3C0727CD}"/>
    <cellStyle name="20% - Accent6 4 3 4" xfId="9592" xr:uid="{795EF053-7E6E-44FC-B800-EA1046FD84A9}"/>
    <cellStyle name="20% - Accent6 4 4" xfId="1485" xr:uid="{00000000-0005-0000-0000-0000A3030000}"/>
    <cellStyle name="20% - Accent6 4 4 2" xfId="3715" xr:uid="{00000000-0005-0000-0000-0000A4030000}"/>
    <cellStyle name="20% - Accent6 4 4 2 2" xfId="7939" xr:uid="{00000000-0005-0000-0000-0000A5030000}"/>
    <cellStyle name="20% - Accent6 4 4 2 2 2" xfId="16368" xr:uid="{C8535A3C-7ECC-4601-8B2C-8776B7097AC5}"/>
    <cellStyle name="20% - Accent6 4 4 2 3" xfId="12150" xr:uid="{864B4D4A-49DC-4ADC-BE0F-7D29F575E2AE}"/>
    <cellStyle name="20% - Accent6 4 4 3" xfId="5794" xr:uid="{00000000-0005-0000-0000-0000A6030000}"/>
    <cellStyle name="20% - Accent6 4 4 3 2" xfId="14223" xr:uid="{B4DCA040-AA20-4910-862F-11C4A5AA29BA}"/>
    <cellStyle name="20% - Accent6 4 4 4" xfId="10005" xr:uid="{EB01DB4D-5AD6-4C6F-808C-5AD973D2155F}"/>
    <cellStyle name="20% - Accent6 4 5" xfId="1899" xr:uid="{00000000-0005-0000-0000-0000A7030000}"/>
    <cellStyle name="20% - Accent6 4 5 2" xfId="4128" xr:uid="{00000000-0005-0000-0000-0000A8030000}"/>
    <cellStyle name="20% - Accent6 4 5 2 2" xfId="8352" xr:uid="{00000000-0005-0000-0000-0000A9030000}"/>
    <cellStyle name="20% - Accent6 4 5 2 2 2" xfId="16781" xr:uid="{B230B52F-EA29-4E79-9D99-2675B7C5F60B}"/>
    <cellStyle name="20% - Accent6 4 5 2 3" xfId="12563" xr:uid="{6F547379-83A2-4BA1-AB6B-B77380B0EA11}"/>
    <cellStyle name="20% - Accent6 4 5 3" xfId="6207" xr:uid="{00000000-0005-0000-0000-0000AA030000}"/>
    <cellStyle name="20% - Accent6 4 5 3 2" xfId="14636" xr:uid="{79EF35DC-B402-4FA2-B313-8702192C7AFB}"/>
    <cellStyle name="20% - Accent6 4 5 4" xfId="10418" xr:uid="{5E4E6F60-4661-4ECD-8559-6E5510874AA2}"/>
    <cellStyle name="20% - Accent6 4 6" xfId="2312" xr:uid="{00000000-0005-0000-0000-0000AB030000}"/>
    <cellStyle name="20% - Accent6 4 6 2" xfId="6620" xr:uid="{00000000-0005-0000-0000-0000AC030000}"/>
    <cellStyle name="20% - Accent6 4 6 2 2" xfId="15049" xr:uid="{56159FA2-302C-4114-843D-ADA7BF49BDEA}"/>
    <cellStyle name="20% - Accent6 4 6 3" xfId="10831" xr:uid="{9D17D40C-9B4C-45E0-BD82-0BC9609D7ADE}"/>
    <cellStyle name="20% - Accent6 4 7" xfId="4554" xr:uid="{00000000-0005-0000-0000-0000AD030000}"/>
    <cellStyle name="20% - Accent6 4 7 2" xfId="12983" xr:uid="{EC11F835-34EE-4E71-AB92-C993D5F17857}"/>
    <cellStyle name="20% - Accent6 4 8" xfId="8765" xr:uid="{D22FAC99-A068-4B0E-B8EF-F956D7EB18CF}"/>
    <cellStyle name="20% - Accent6 5" xfId="611" xr:uid="{00000000-0005-0000-0000-0000AE030000}"/>
    <cellStyle name="20% - Accent6 5 2" xfId="2882" xr:uid="{00000000-0005-0000-0000-0000AF030000}"/>
    <cellStyle name="20% - Accent6 5 2 2" xfId="7106" xr:uid="{00000000-0005-0000-0000-0000B0030000}"/>
    <cellStyle name="20% - Accent6 5 2 2 2" xfId="15535" xr:uid="{D3540CB6-A72C-42D2-A1A6-543CF3344F63}"/>
    <cellStyle name="20% - Accent6 5 2 3" xfId="11317" xr:uid="{9680AC6E-0270-48DB-82B7-A2A6184BD525}"/>
    <cellStyle name="20% - Accent6 5 3" xfId="4961" xr:uid="{00000000-0005-0000-0000-0000B1030000}"/>
    <cellStyle name="20% - Accent6 5 3 2" xfId="13390" xr:uid="{0ABA4520-01A7-4663-8538-909BE4AADFA4}"/>
    <cellStyle name="20% - Accent6 5 4" xfId="9172" xr:uid="{F55DD0DC-9BBB-4DB7-A838-27830EA72CD3}"/>
    <cellStyle name="20% - Accent6 6" xfId="1064" xr:uid="{00000000-0005-0000-0000-0000B2030000}"/>
    <cellStyle name="20% - Accent6 6 2" xfId="3295" xr:uid="{00000000-0005-0000-0000-0000B3030000}"/>
    <cellStyle name="20% - Accent6 6 2 2" xfId="7519" xr:uid="{00000000-0005-0000-0000-0000B4030000}"/>
    <cellStyle name="20% - Accent6 6 2 2 2" xfId="15948" xr:uid="{00FA912E-9E91-483E-907A-5495494FFAA9}"/>
    <cellStyle name="20% - Accent6 6 2 3" xfId="11730" xr:uid="{D8A3D6AB-9138-49B3-B3D5-3EE3022AA5E7}"/>
    <cellStyle name="20% - Accent6 6 3" xfId="5374" xr:uid="{00000000-0005-0000-0000-0000B5030000}"/>
    <cellStyle name="20% - Accent6 6 3 2" xfId="13803" xr:uid="{828E1F0B-B91E-4A3B-9D95-B22AEB07FB5A}"/>
    <cellStyle name="20% - Accent6 6 4" xfId="9585" xr:uid="{1FF50CD4-3CDD-49BB-BFAF-DBB9950AB792}"/>
    <cellStyle name="20% - Accent6 7" xfId="1478" xr:uid="{00000000-0005-0000-0000-0000B6030000}"/>
    <cellStyle name="20% - Accent6 7 2" xfId="3708" xr:uid="{00000000-0005-0000-0000-0000B7030000}"/>
    <cellStyle name="20% - Accent6 7 2 2" xfId="7932" xr:uid="{00000000-0005-0000-0000-0000B8030000}"/>
    <cellStyle name="20% - Accent6 7 2 2 2" xfId="16361" xr:uid="{C47F2B37-3F3E-4737-9BFC-E458A23B4759}"/>
    <cellStyle name="20% - Accent6 7 2 3" xfId="12143" xr:uid="{A4F64DD0-AFE5-4952-9E76-90EC259339E0}"/>
    <cellStyle name="20% - Accent6 7 3" xfId="5787" xr:uid="{00000000-0005-0000-0000-0000B9030000}"/>
    <cellStyle name="20% - Accent6 7 3 2" xfId="14216" xr:uid="{D5F19E7F-7D6D-4619-BACD-4DFD2524EACF}"/>
    <cellStyle name="20% - Accent6 7 4" xfId="9998" xr:uid="{79387644-C6D1-481A-A8CC-CCE4207A6685}"/>
    <cellStyle name="20% - Accent6 8" xfId="1892" xr:uid="{00000000-0005-0000-0000-0000BA030000}"/>
    <cellStyle name="20% - Accent6 8 2" xfId="4121" xr:uid="{00000000-0005-0000-0000-0000BB030000}"/>
    <cellStyle name="20% - Accent6 8 2 2" xfId="8345" xr:uid="{00000000-0005-0000-0000-0000BC030000}"/>
    <cellStyle name="20% - Accent6 8 2 2 2" xfId="16774" xr:uid="{94C0CBF9-FEA9-4479-BA50-08962AD5497D}"/>
    <cellStyle name="20% - Accent6 8 2 3" xfId="12556" xr:uid="{CD853D1C-FB32-41C3-AD5F-6C6E0738AD0D}"/>
    <cellStyle name="20% - Accent6 8 3" xfId="6200" xr:uid="{00000000-0005-0000-0000-0000BD030000}"/>
    <cellStyle name="20% - Accent6 8 3 2" xfId="14629" xr:uid="{CA1D473B-FFFB-413E-B804-7025815F3C95}"/>
    <cellStyle name="20% - Accent6 8 4" xfId="10411" xr:uid="{D81BBC9A-9673-4887-AC14-C8223029133D}"/>
    <cellStyle name="20% - Accent6 9" xfId="2305" xr:uid="{00000000-0005-0000-0000-0000BE030000}"/>
    <cellStyle name="20% - Accent6 9 2" xfId="6613" xr:uid="{00000000-0005-0000-0000-0000BF030000}"/>
    <cellStyle name="20% - Accent6 9 2 2" xfId="15042" xr:uid="{D07A2B94-3853-4A39-B16F-FEA976D22898}"/>
    <cellStyle name="20% - Accent6 9 3" xfId="10824" xr:uid="{7361871B-2932-48D9-B4EF-0245E9CD345A}"/>
    <cellStyle name="40% - Accent1" xfId="49" builtinId="31" customBuiltin="1"/>
    <cellStyle name="40% - Accent1 10" xfId="4555" xr:uid="{00000000-0005-0000-0000-0000C1030000}"/>
    <cellStyle name="40% - Accent1 10 2" xfId="12984" xr:uid="{4C36E546-18A8-4D49-B3AB-82826C8C6F72}"/>
    <cellStyle name="40% - Accent1 11" xfId="8766" xr:uid="{5FFB9BE3-FFC1-4265-9590-B81F695DCF97}"/>
    <cellStyle name="40% - Accent1 2" xfId="50" xr:uid="{00000000-0005-0000-0000-0000C2030000}"/>
    <cellStyle name="40% - Accent1 2 10" xfId="8767" xr:uid="{A01D623C-C8E8-47F1-8783-253296AE81B2}"/>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2 2" xfId="15546" xr:uid="{79DA2DF8-9A57-4A5F-8E94-1FF5CC9CA4B9}"/>
    <cellStyle name="40% - Accent1 2 2 2 2 2 3" xfId="11328" xr:uid="{5B68B766-3DD4-4FDB-9B46-1E8FD6247246}"/>
    <cellStyle name="40% - Accent1 2 2 2 2 3" xfId="4972" xr:uid="{00000000-0005-0000-0000-0000C8030000}"/>
    <cellStyle name="40% - Accent1 2 2 2 2 3 2" xfId="13401" xr:uid="{27BB3173-A041-457A-8AF9-D2937E33080F}"/>
    <cellStyle name="40% - Accent1 2 2 2 2 4" xfId="9183" xr:uid="{41793AFF-BC96-450D-81F4-C75CFC57921C}"/>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2 2" xfId="15959" xr:uid="{47BA25BC-54BF-49AC-B980-59D5AF006866}"/>
    <cellStyle name="40% - Accent1 2 2 2 3 2 3" xfId="11741" xr:uid="{659BD117-0C52-4F16-B5FE-26A79E1B870B}"/>
    <cellStyle name="40% - Accent1 2 2 2 3 3" xfId="5385" xr:uid="{00000000-0005-0000-0000-0000CC030000}"/>
    <cellStyle name="40% - Accent1 2 2 2 3 3 2" xfId="13814" xr:uid="{745E34D1-3302-4CE4-AF6B-711E37207315}"/>
    <cellStyle name="40% - Accent1 2 2 2 3 4" xfId="9596" xr:uid="{9A37817F-B8B1-415F-B031-67682738A79D}"/>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2 2" xfId="16372" xr:uid="{597E2EDE-B429-4906-B290-77B26D3E4DA7}"/>
    <cellStyle name="40% - Accent1 2 2 2 4 2 3" xfId="12154" xr:uid="{7CE4DBB4-C7D9-4CDC-AC66-6F2770A48B65}"/>
    <cellStyle name="40% - Accent1 2 2 2 4 3" xfId="5798" xr:uid="{00000000-0005-0000-0000-0000D0030000}"/>
    <cellStyle name="40% - Accent1 2 2 2 4 3 2" xfId="14227" xr:uid="{D1D2E529-A439-4133-88D8-6828D2BF2A6B}"/>
    <cellStyle name="40% - Accent1 2 2 2 4 4" xfId="10009" xr:uid="{7F0AD3D4-2C73-4833-B376-EBA7C7F476CA}"/>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2 2" xfId="16785" xr:uid="{1417A89D-3F71-41B0-8365-83F69E8DE3EF}"/>
    <cellStyle name="40% - Accent1 2 2 2 5 2 3" xfId="12567" xr:uid="{124BACF7-3BA1-4792-B194-0D6230C61997}"/>
    <cellStyle name="40% - Accent1 2 2 2 5 3" xfId="6211" xr:uid="{00000000-0005-0000-0000-0000D4030000}"/>
    <cellStyle name="40% - Accent1 2 2 2 5 3 2" xfId="14640" xr:uid="{496010D2-34DA-40DD-8B97-4216B7C3E1A2}"/>
    <cellStyle name="40% - Accent1 2 2 2 5 4" xfId="10422" xr:uid="{2FAA5520-D9FA-4663-90FB-71EFECDC8D0B}"/>
    <cellStyle name="40% - Accent1 2 2 2 6" xfId="2316" xr:uid="{00000000-0005-0000-0000-0000D5030000}"/>
    <cellStyle name="40% - Accent1 2 2 2 6 2" xfId="6624" xr:uid="{00000000-0005-0000-0000-0000D6030000}"/>
    <cellStyle name="40% - Accent1 2 2 2 6 2 2" xfId="15053" xr:uid="{69950924-48AC-4593-A57D-2839ED3AF202}"/>
    <cellStyle name="40% - Accent1 2 2 2 6 3" xfId="10835" xr:uid="{308952B4-73B5-47A7-AA05-4DA2179F20FD}"/>
    <cellStyle name="40% - Accent1 2 2 2 7" xfId="4558" xr:uid="{00000000-0005-0000-0000-0000D7030000}"/>
    <cellStyle name="40% - Accent1 2 2 2 7 2" xfId="12987" xr:uid="{B3F658DE-1504-4C05-9629-86282602E32D}"/>
    <cellStyle name="40% - Accent1 2 2 2 8" xfId="8769" xr:uid="{11BEBB0F-34F7-4E87-A050-C454A8EBC995}"/>
    <cellStyle name="40% - Accent1 2 2 3" xfId="621" xr:uid="{00000000-0005-0000-0000-0000D8030000}"/>
    <cellStyle name="40% - Accent1 2 2 3 2" xfId="2892" xr:uid="{00000000-0005-0000-0000-0000D9030000}"/>
    <cellStyle name="40% - Accent1 2 2 3 2 2" xfId="7116" xr:uid="{00000000-0005-0000-0000-0000DA030000}"/>
    <cellStyle name="40% - Accent1 2 2 3 2 2 2" xfId="15545" xr:uid="{9404B8B9-5346-4ADF-A4EB-D01EAEF3663D}"/>
    <cellStyle name="40% - Accent1 2 2 3 2 3" xfId="11327" xr:uid="{69B0E66A-E46B-43A9-A075-F4B830B28F40}"/>
    <cellStyle name="40% - Accent1 2 2 3 3" xfId="4971" xr:uid="{00000000-0005-0000-0000-0000DB030000}"/>
    <cellStyle name="40% - Accent1 2 2 3 3 2" xfId="13400" xr:uid="{5F3E2382-AA99-48E9-A0E3-7B912563C378}"/>
    <cellStyle name="40% - Accent1 2 2 3 4" xfId="9182" xr:uid="{2882103D-1450-478C-AA6D-D7F3390FBDD2}"/>
    <cellStyle name="40% - Accent1 2 2 4" xfId="1074" xr:uid="{00000000-0005-0000-0000-0000DC030000}"/>
    <cellStyle name="40% - Accent1 2 2 4 2" xfId="3305" xr:uid="{00000000-0005-0000-0000-0000DD030000}"/>
    <cellStyle name="40% - Accent1 2 2 4 2 2" xfId="7529" xr:uid="{00000000-0005-0000-0000-0000DE030000}"/>
    <cellStyle name="40% - Accent1 2 2 4 2 2 2" xfId="15958" xr:uid="{018B70B9-D452-4637-8446-FD833B80D5D2}"/>
    <cellStyle name="40% - Accent1 2 2 4 2 3" xfId="11740" xr:uid="{86B77A1D-346B-4019-BBDB-DD5965F71370}"/>
    <cellStyle name="40% - Accent1 2 2 4 3" xfId="5384" xr:uid="{00000000-0005-0000-0000-0000DF030000}"/>
    <cellStyle name="40% - Accent1 2 2 4 3 2" xfId="13813" xr:uid="{32CFEDD5-2D9A-459E-8F61-54F72D14A913}"/>
    <cellStyle name="40% - Accent1 2 2 4 4" xfId="9595" xr:uid="{B6CF96FC-5815-467C-9D7F-931235E97C82}"/>
    <cellStyle name="40% - Accent1 2 2 5" xfId="1488" xr:uid="{00000000-0005-0000-0000-0000E0030000}"/>
    <cellStyle name="40% - Accent1 2 2 5 2" xfId="3718" xr:uid="{00000000-0005-0000-0000-0000E1030000}"/>
    <cellStyle name="40% - Accent1 2 2 5 2 2" xfId="7942" xr:uid="{00000000-0005-0000-0000-0000E2030000}"/>
    <cellStyle name="40% - Accent1 2 2 5 2 2 2" xfId="16371" xr:uid="{BF4291E5-2468-4711-877C-012686EFB953}"/>
    <cellStyle name="40% - Accent1 2 2 5 2 3" xfId="12153" xr:uid="{B6C18654-30FD-4B02-8145-521CC26098A9}"/>
    <cellStyle name="40% - Accent1 2 2 5 3" xfId="5797" xr:uid="{00000000-0005-0000-0000-0000E3030000}"/>
    <cellStyle name="40% - Accent1 2 2 5 3 2" xfId="14226" xr:uid="{9E4BED51-AB0E-4116-B237-C41C00DE7F71}"/>
    <cellStyle name="40% - Accent1 2 2 5 4" xfId="10008" xr:uid="{07498101-0EB8-464B-B38A-919ACCAECD57}"/>
    <cellStyle name="40% - Accent1 2 2 6" xfId="1902" xr:uid="{00000000-0005-0000-0000-0000E4030000}"/>
    <cellStyle name="40% - Accent1 2 2 6 2" xfId="4131" xr:uid="{00000000-0005-0000-0000-0000E5030000}"/>
    <cellStyle name="40% - Accent1 2 2 6 2 2" xfId="8355" xr:uid="{00000000-0005-0000-0000-0000E6030000}"/>
    <cellStyle name="40% - Accent1 2 2 6 2 2 2" xfId="16784" xr:uid="{FAEA6102-5AD8-449B-975D-744B2183FC6B}"/>
    <cellStyle name="40% - Accent1 2 2 6 2 3" xfId="12566" xr:uid="{94FE534F-06EC-4798-A5F7-A99E0D7CFAAD}"/>
    <cellStyle name="40% - Accent1 2 2 6 3" xfId="6210" xr:uid="{00000000-0005-0000-0000-0000E7030000}"/>
    <cellStyle name="40% - Accent1 2 2 6 3 2" xfId="14639" xr:uid="{E32B8937-88BE-4F27-9713-377E8F3F2E51}"/>
    <cellStyle name="40% - Accent1 2 2 6 4" xfId="10421" xr:uid="{D43ED880-9804-4262-A794-27B1C759F1F8}"/>
    <cellStyle name="40% - Accent1 2 2 7" xfId="2315" xr:uid="{00000000-0005-0000-0000-0000E8030000}"/>
    <cellStyle name="40% - Accent1 2 2 7 2" xfId="6623" xr:uid="{00000000-0005-0000-0000-0000E9030000}"/>
    <cellStyle name="40% - Accent1 2 2 7 2 2" xfId="15052" xr:uid="{F93AA08B-CBED-4456-91D3-9F627E23E721}"/>
    <cellStyle name="40% - Accent1 2 2 7 3" xfId="10834" xr:uid="{6A2EDDC3-56EA-434B-BDAD-8B75EFDDD6A8}"/>
    <cellStyle name="40% - Accent1 2 2 8" xfId="4557" xr:uid="{00000000-0005-0000-0000-0000EA030000}"/>
    <cellStyle name="40% - Accent1 2 2 8 2" xfId="12986" xr:uid="{428E6C35-7E2F-4212-A943-6078A8ED79C2}"/>
    <cellStyle name="40% - Accent1 2 2 9" xfId="8768" xr:uid="{C96EC39C-1B45-423E-9474-29BA2D434AC1}"/>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2 2" xfId="15547" xr:uid="{96EE2CD9-73C8-44D9-9433-29DA650538FF}"/>
    <cellStyle name="40% - Accent1 2 3 2 2 3" xfId="11329" xr:uid="{DBFF9F64-1739-41DF-B437-9C91BD4A0416}"/>
    <cellStyle name="40% - Accent1 2 3 2 3" xfId="4973" xr:uid="{00000000-0005-0000-0000-0000EF030000}"/>
    <cellStyle name="40% - Accent1 2 3 2 3 2" xfId="13402" xr:uid="{45D6B568-5F4E-4399-8A9B-2CD2BCC5985E}"/>
    <cellStyle name="40% - Accent1 2 3 2 4" xfId="9184" xr:uid="{7E2606F5-5B91-4056-A8AE-128CF4ACF817}"/>
    <cellStyle name="40% - Accent1 2 3 3" xfId="1076" xr:uid="{00000000-0005-0000-0000-0000F0030000}"/>
    <cellStyle name="40% - Accent1 2 3 3 2" xfId="3307" xr:uid="{00000000-0005-0000-0000-0000F1030000}"/>
    <cellStyle name="40% - Accent1 2 3 3 2 2" xfId="7531" xr:uid="{00000000-0005-0000-0000-0000F2030000}"/>
    <cellStyle name="40% - Accent1 2 3 3 2 2 2" xfId="15960" xr:uid="{CF9D7580-383F-4FBA-94E5-B3A0AF3CDD3F}"/>
    <cellStyle name="40% - Accent1 2 3 3 2 3" xfId="11742" xr:uid="{C83EE3A8-F38A-4686-AA57-B69E3F479FFD}"/>
    <cellStyle name="40% - Accent1 2 3 3 3" xfId="5386" xr:uid="{00000000-0005-0000-0000-0000F3030000}"/>
    <cellStyle name="40% - Accent1 2 3 3 3 2" xfId="13815" xr:uid="{E751D796-0685-4E2B-85DF-7F8F301CC945}"/>
    <cellStyle name="40% - Accent1 2 3 3 4" xfId="9597" xr:uid="{FF941AE7-A681-4370-8CB0-36AF3977F999}"/>
    <cellStyle name="40% - Accent1 2 3 4" xfId="1490" xr:uid="{00000000-0005-0000-0000-0000F4030000}"/>
    <cellStyle name="40% - Accent1 2 3 4 2" xfId="3720" xr:uid="{00000000-0005-0000-0000-0000F5030000}"/>
    <cellStyle name="40% - Accent1 2 3 4 2 2" xfId="7944" xr:uid="{00000000-0005-0000-0000-0000F6030000}"/>
    <cellStyle name="40% - Accent1 2 3 4 2 2 2" xfId="16373" xr:uid="{B12C6C92-32A6-4FEF-8491-F698013DEB00}"/>
    <cellStyle name="40% - Accent1 2 3 4 2 3" xfId="12155" xr:uid="{AE52BB5D-79C6-4F31-A13D-716507C215D2}"/>
    <cellStyle name="40% - Accent1 2 3 4 3" xfId="5799" xr:uid="{00000000-0005-0000-0000-0000F7030000}"/>
    <cellStyle name="40% - Accent1 2 3 4 3 2" xfId="14228" xr:uid="{DFDF5D4D-3ED9-42A7-B0E6-360FE19BC6EE}"/>
    <cellStyle name="40% - Accent1 2 3 4 4" xfId="10010" xr:uid="{E649CCE4-7C6B-47AE-85CA-8E23F3C42C9A}"/>
    <cellStyle name="40% - Accent1 2 3 5" xfId="1904" xr:uid="{00000000-0005-0000-0000-0000F8030000}"/>
    <cellStyle name="40% - Accent1 2 3 5 2" xfId="4133" xr:uid="{00000000-0005-0000-0000-0000F9030000}"/>
    <cellStyle name="40% - Accent1 2 3 5 2 2" xfId="8357" xr:uid="{00000000-0005-0000-0000-0000FA030000}"/>
    <cellStyle name="40% - Accent1 2 3 5 2 2 2" xfId="16786" xr:uid="{B95122E1-89AA-4038-9991-CA2993BDBF79}"/>
    <cellStyle name="40% - Accent1 2 3 5 2 3" xfId="12568" xr:uid="{40D182D9-D9E1-4D43-B9FA-19C9196DB409}"/>
    <cellStyle name="40% - Accent1 2 3 5 3" xfId="6212" xr:uid="{00000000-0005-0000-0000-0000FB030000}"/>
    <cellStyle name="40% - Accent1 2 3 5 3 2" xfId="14641" xr:uid="{CCC1DBCB-6AD3-4F1F-95AC-DEB687AE39F7}"/>
    <cellStyle name="40% - Accent1 2 3 5 4" xfId="10423" xr:uid="{B359B813-CDDD-4D0A-9DD6-EC652ED72AE5}"/>
    <cellStyle name="40% - Accent1 2 3 6" xfId="2317" xr:uid="{00000000-0005-0000-0000-0000FC030000}"/>
    <cellStyle name="40% - Accent1 2 3 6 2" xfId="6625" xr:uid="{00000000-0005-0000-0000-0000FD030000}"/>
    <cellStyle name="40% - Accent1 2 3 6 2 2" xfId="15054" xr:uid="{B03FBC43-411D-40E6-A787-64F011BBEF3D}"/>
    <cellStyle name="40% - Accent1 2 3 6 3" xfId="10836" xr:uid="{0B4E657F-CFBE-4C2B-8963-D988F8C0631B}"/>
    <cellStyle name="40% - Accent1 2 3 7" xfId="4559" xr:uid="{00000000-0005-0000-0000-0000FE030000}"/>
    <cellStyle name="40% - Accent1 2 3 7 2" xfId="12988" xr:uid="{215F9CF9-CA58-4667-A8A1-264214F20DE9}"/>
    <cellStyle name="40% - Accent1 2 3 8" xfId="8770" xr:uid="{924716A9-9BCA-48DF-80B2-C858BBC184D9}"/>
    <cellStyle name="40% - Accent1 2 4" xfId="620" xr:uid="{00000000-0005-0000-0000-0000FF030000}"/>
    <cellStyle name="40% - Accent1 2 4 2" xfId="2891" xr:uid="{00000000-0005-0000-0000-000000040000}"/>
    <cellStyle name="40% - Accent1 2 4 2 2" xfId="7115" xr:uid="{00000000-0005-0000-0000-000001040000}"/>
    <cellStyle name="40% - Accent1 2 4 2 2 2" xfId="15544" xr:uid="{70B830B0-1237-445D-BF14-F953BC845C53}"/>
    <cellStyle name="40% - Accent1 2 4 2 3" xfId="11326" xr:uid="{F01A7025-CECA-4EAC-874F-903722EE8444}"/>
    <cellStyle name="40% - Accent1 2 4 3" xfId="4970" xr:uid="{00000000-0005-0000-0000-000002040000}"/>
    <cellStyle name="40% - Accent1 2 4 3 2" xfId="13399" xr:uid="{598F00B5-40B0-4570-B0B2-F1CC79711887}"/>
    <cellStyle name="40% - Accent1 2 4 4" xfId="9181" xr:uid="{A2369122-0EA7-4922-9B8D-CAE97670621C}"/>
    <cellStyle name="40% - Accent1 2 5" xfId="1073" xr:uid="{00000000-0005-0000-0000-000003040000}"/>
    <cellStyle name="40% - Accent1 2 5 2" xfId="3304" xr:uid="{00000000-0005-0000-0000-000004040000}"/>
    <cellStyle name="40% - Accent1 2 5 2 2" xfId="7528" xr:uid="{00000000-0005-0000-0000-000005040000}"/>
    <cellStyle name="40% - Accent1 2 5 2 2 2" xfId="15957" xr:uid="{761BE32A-E763-4DDF-85D2-4A5D7AB06D2E}"/>
    <cellStyle name="40% - Accent1 2 5 2 3" xfId="11739" xr:uid="{C6BA1F42-BE9A-40C3-B2F8-4AAE9821AD8E}"/>
    <cellStyle name="40% - Accent1 2 5 3" xfId="5383" xr:uid="{00000000-0005-0000-0000-000006040000}"/>
    <cellStyle name="40% - Accent1 2 5 3 2" xfId="13812" xr:uid="{B8058AF1-D57C-47CB-80AE-AAB2578AB169}"/>
    <cellStyle name="40% - Accent1 2 5 4" xfId="9594" xr:uid="{E0D4A63C-205D-44CC-A92F-70CC4A80AEC3}"/>
    <cellStyle name="40% - Accent1 2 6" xfId="1487" xr:uid="{00000000-0005-0000-0000-000007040000}"/>
    <cellStyle name="40% - Accent1 2 6 2" xfId="3717" xr:uid="{00000000-0005-0000-0000-000008040000}"/>
    <cellStyle name="40% - Accent1 2 6 2 2" xfId="7941" xr:uid="{00000000-0005-0000-0000-000009040000}"/>
    <cellStyle name="40% - Accent1 2 6 2 2 2" xfId="16370" xr:uid="{3C36DA90-7B4E-4C9E-9227-4017ACFC358F}"/>
    <cellStyle name="40% - Accent1 2 6 2 3" xfId="12152" xr:uid="{51A7E52F-3544-4BDD-9005-AB48EFBB8F63}"/>
    <cellStyle name="40% - Accent1 2 6 3" xfId="5796" xr:uid="{00000000-0005-0000-0000-00000A040000}"/>
    <cellStyle name="40% - Accent1 2 6 3 2" xfId="14225" xr:uid="{D13BE31D-6F43-49B4-86FD-668089F0F8DB}"/>
    <cellStyle name="40% - Accent1 2 6 4" xfId="10007" xr:uid="{03790BC2-0C68-4FD1-9F74-5ADAA2F03C76}"/>
    <cellStyle name="40% - Accent1 2 7" xfId="1901" xr:uid="{00000000-0005-0000-0000-00000B040000}"/>
    <cellStyle name="40% - Accent1 2 7 2" xfId="4130" xr:uid="{00000000-0005-0000-0000-00000C040000}"/>
    <cellStyle name="40% - Accent1 2 7 2 2" xfId="8354" xr:uid="{00000000-0005-0000-0000-00000D040000}"/>
    <cellStyle name="40% - Accent1 2 7 2 2 2" xfId="16783" xr:uid="{0412E0D5-66EE-42CB-A232-E83BD7A4BAAD}"/>
    <cellStyle name="40% - Accent1 2 7 2 3" xfId="12565" xr:uid="{2C8FAE28-7419-4A90-8641-DEEA46524ACD}"/>
    <cellStyle name="40% - Accent1 2 7 3" xfId="6209" xr:uid="{00000000-0005-0000-0000-00000E040000}"/>
    <cellStyle name="40% - Accent1 2 7 3 2" xfId="14638" xr:uid="{71203244-D167-4803-8CA0-DD92838E18C8}"/>
    <cellStyle name="40% - Accent1 2 7 4" xfId="10420" xr:uid="{F910505E-1AE6-483C-B5F7-083DDAA50BDB}"/>
    <cellStyle name="40% - Accent1 2 8" xfId="2314" xr:uid="{00000000-0005-0000-0000-00000F040000}"/>
    <cellStyle name="40% - Accent1 2 8 2" xfId="6622" xr:uid="{00000000-0005-0000-0000-000010040000}"/>
    <cellStyle name="40% - Accent1 2 8 2 2" xfId="15051" xr:uid="{379C9230-78F1-4A58-BD29-896866FE673A}"/>
    <cellStyle name="40% - Accent1 2 8 3" xfId="10833" xr:uid="{3F5443E5-A4DA-45C6-917E-C5A4245F1295}"/>
    <cellStyle name="40% - Accent1 2 9" xfId="4556" xr:uid="{00000000-0005-0000-0000-000011040000}"/>
    <cellStyle name="40% - Accent1 2 9 2" xfId="12985" xr:uid="{202CACE1-C9EA-49A1-A909-BD36C51A8226}"/>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2 2" xfId="15549" xr:uid="{9B3D0FE3-BF0D-4645-A0E4-3152874DD16D}"/>
    <cellStyle name="40% - Accent1 3 2 2 2 3" xfId="11331" xr:uid="{CCDBC09F-4A0E-4E55-9704-57694F28FE62}"/>
    <cellStyle name="40% - Accent1 3 2 2 3" xfId="4975" xr:uid="{00000000-0005-0000-0000-000017040000}"/>
    <cellStyle name="40% - Accent1 3 2 2 3 2" xfId="13404" xr:uid="{594BD7CB-C042-40C8-9CC1-30C4403E0C14}"/>
    <cellStyle name="40% - Accent1 3 2 2 4" xfId="9186" xr:uid="{513D50C8-38E2-4267-AC68-5CF3D0E1F649}"/>
    <cellStyle name="40% - Accent1 3 2 3" xfId="1078" xr:uid="{00000000-0005-0000-0000-000018040000}"/>
    <cellStyle name="40% - Accent1 3 2 3 2" xfId="3309" xr:uid="{00000000-0005-0000-0000-000019040000}"/>
    <cellStyle name="40% - Accent1 3 2 3 2 2" xfId="7533" xr:uid="{00000000-0005-0000-0000-00001A040000}"/>
    <cellStyle name="40% - Accent1 3 2 3 2 2 2" xfId="15962" xr:uid="{0A9D4B41-2F9A-4B1E-B525-6E1E9A360D6F}"/>
    <cellStyle name="40% - Accent1 3 2 3 2 3" xfId="11744" xr:uid="{7DA8B1AC-875F-40E9-A027-26847EA85CE1}"/>
    <cellStyle name="40% - Accent1 3 2 3 3" xfId="5388" xr:uid="{00000000-0005-0000-0000-00001B040000}"/>
    <cellStyle name="40% - Accent1 3 2 3 3 2" xfId="13817" xr:uid="{A94D611F-893C-4DD6-B12E-D4B7C2DC6A1A}"/>
    <cellStyle name="40% - Accent1 3 2 3 4" xfId="9599" xr:uid="{D7BD8FF0-C4A8-4FCA-9E64-7377A07330DD}"/>
    <cellStyle name="40% - Accent1 3 2 4" xfId="1492" xr:uid="{00000000-0005-0000-0000-00001C040000}"/>
    <cellStyle name="40% - Accent1 3 2 4 2" xfId="3722" xr:uid="{00000000-0005-0000-0000-00001D040000}"/>
    <cellStyle name="40% - Accent1 3 2 4 2 2" xfId="7946" xr:uid="{00000000-0005-0000-0000-00001E040000}"/>
    <cellStyle name="40% - Accent1 3 2 4 2 2 2" xfId="16375" xr:uid="{A73D6385-32D3-41C7-8D82-92A3465C9EAE}"/>
    <cellStyle name="40% - Accent1 3 2 4 2 3" xfId="12157" xr:uid="{BD75F268-089F-42B3-8CB0-10B9DB24FC53}"/>
    <cellStyle name="40% - Accent1 3 2 4 3" xfId="5801" xr:uid="{00000000-0005-0000-0000-00001F040000}"/>
    <cellStyle name="40% - Accent1 3 2 4 3 2" xfId="14230" xr:uid="{2C3E3B0B-9D58-437D-8AED-757E502EB35D}"/>
    <cellStyle name="40% - Accent1 3 2 4 4" xfId="10012" xr:uid="{182CE14F-D379-43E1-B322-471408BA5D17}"/>
    <cellStyle name="40% - Accent1 3 2 5" xfId="1906" xr:uid="{00000000-0005-0000-0000-000020040000}"/>
    <cellStyle name="40% - Accent1 3 2 5 2" xfId="4135" xr:uid="{00000000-0005-0000-0000-000021040000}"/>
    <cellStyle name="40% - Accent1 3 2 5 2 2" xfId="8359" xr:uid="{00000000-0005-0000-0000-000022040000}"/>
    <cellStyle name="40% - Accent1 3 2 5 2 2 2" xfId="16788" xr:uid="{E94A919D-6EED-49BF-9655-9898679FAD5F}"/>
    <cellStyle name="40% - Accent1 3 2 5 2 3" xfId="12570" xr:uid="{C3FFAECC-E9C6-45D8-BACD-A3C1FD3B5D2E}"/>
    <cellStyle name="40% - Accent1 3 2 5 3" xfId="6214" xr:uid="{00000000-0005-0000-0000-000023040000}"/>
    <cellStyle name="40% - Accent1 3 2 5 3 2" xfId="14643" xr:uid="{893B589A-B350-4DA0-BA50-3E213114E4CE}"/>
    <cellStyle name="40% - Accent1 3 2 5 4" xfId="10425" xr:uid="{5DFABC76-85C4-402C-938D-6D0776BEFD7F}"/>
    <cellStyle name="40% - Accent1 3 2 6" xfId="2319" xr:uid="{00000000-0005-0000-0000-000024040000}"/>
    <cellStyle name="40% - Accent1 3 2 6 2" xfId="6627" xr:uid="{00000000-0005-0000-0000-000025040000}"/>
    <cellStyle name="40% - Accent1 3 2 6 2 2" xfId="15056" xr:uid="{C3FCDA70-83F2-4D0C-97B0-2F54E8F25A19}"/>
    <cellStyle name="40% - Accent1 3 2 6 3" xfId="10838" xr:uid="{B8BA86F4-2064-4764-B4EE-0C26E1974AE7}"/>
    <cellStyle name="40% - Accent1 3 2 7" xfId="4561" xr:uid="{00000000-0005-0000-0000-000026040000}"/>
    <cellStyle name="40% - Accent1 3 2 7 2" xfId="12990" xr:uid="{A3A518E2-FECA-442F-A25A-B092A4E64BD9}"/>
    <cellStyle name="40% - Accent1 3 2 8" xfId="8772" xr:uid="{974CAE1C-0ACD-4D2B-BB60-1B2CBD1F249B}"/>
    <cellStyle name="40% - Accent1 3 3" xfId="624" xr:uid="{00000000-0005-0000-0000-000027040000}"/>
    <cellStyle name="40% - Accent1 3 3 2" xfId="2895" xr:uid="{00000000-0005-0000-0000-000028040000}"/>
    <cellStyle name="40% - Accent1 3 3 2 2" xfId="7119" xr:uid="{00000000-0005-0000-0000-000029040000}"/>
    <cellStyle name="40% - Accent1 3 3 2 2 2" xfId="15548" xr:uid="{F5BC201D-BEFC-4B3B-A754-649444F3CDD2}"/>
    <cellStyle name="40% - Accent1 3 3 2 3" xfId="11330" xr:uid="{79EB0E75-0558-423C-BE6B-C4F5F413617E}"/>
    <cellStyle name="40% - Accent1 3 3 3" xfId="4974" xr:uid="{00000000-0005-0000-0000-00002A040000}"/>
    <cellStyle name="40% - Accent1 3 3 3 2" xfId="13403" xr:uid="{CFEE0AFF-3522-4830-A253-7809A3CB15AB}"/>
    <cellStyle name="40% - Accent1 3 3 4" xfId="9185" xr:uid="{FBEE166C-CBD6-4D4C-BD2A-B8849EE81BB7}"/>
    <cellStyle name="40% - Accent1 3 4" xfId="1077" xr:uid="{00000000-0005-0000-0000-00002B040000}"/>
    <cellStyle name="40% - Accent1 3 4 2" xfId="3308" xr:uid="{00000000-0005-0000-0000-00002C040000}"/>
    <cellStyle name="40% - Accent1 3 4 2 2" xfId="7532" xr:uid="{00000000-0005-0000-0000-00002D040000}"/>
    <cellStyle name="40% - Accent1 3 4 2 2 2" xfId="15961" xr:uid="{9A95EB6A-5529-4576-A5A8-C0556EF81BFF}"/>
    <cellStyle name="40% - Accent1 3 4 2 3" xfId="11743" xr:uid="{B7AB85D6-916E-436D-92AE-5B25CE153C13}"/>
    <cellStyle name="40% - Accent1 3 4 3" xfId="5387" xr:uid="{00000000-0005-0000-0000-00002E040000}"/>
    <cellStyle name="40% - Accent1 3 4 3 2" xfId="13816" xr:uid="{5FEE1B7D-DCF1-4DF1-8508-09B61A3CAB2A}"/>
    <cellStyle name="40% - Accent1 3 4 4" xfId="9598" xr:uid="{58FE0336-F92B-4C76-9976-7B6B05968EDF}"/>
    <cellStyle name="40% - Accent1 3 5" xfId="1491" xr:uid="{00000000-0005-0000-0000-00002F040000}"/>
    <cellStyle name="40% - Accent1 3 5 2" xfId="3721" xr:uid="{00000000-0005-0000-0000-000030040000}"/>
    <cellStyle name="40% - Accent1 3 5 2 2" xfId="7945" xr:uid="{00000000-0005-0000-0000-000031040000}"/>
    <cellStyle name="40% - Accent1 3 5 2 2 2" xfId="16374" xr:uid="{DF2DF9CB-95EC-496A-84B7-4638A0278964}"/>
    <cellStyle name="40% - Accent1 3 5 2 3" xfId="12156" xr:uid="{6BFDE2EE-7366-4961-8719-48AC99DC3DEF}"/>
    <cellStyle name="40% - Accent1 3 5 3" xfId="5800" xr:uid="{00000000-0005-0000-0000-000032040000}"/>
    <cellStyle name="40% - Accent1 3 5 3 2" xfId="14229" xr:uid="{872F814A-2FB5-499C-AE87-F29622A3AE10}"/>
    <cellStyle name="40% - Accent1 3 5 4" xfId="10011" xr:uid="{CECFAF15-4FD4-4CF8-BACC-FD0BCC95FC3F}"/>
    <cellStyle name="40% - Accent1 3 6" xfId="1905" xr:uid="{00000000-0005-0000-0000-000033040000}"/>
    <cellStyle name="40% - Accent1 3 6 2" xfId="4134" xr:uid="{00000000-0005-0000-0000-000034040000}"/>
    <cellStyle name="40% - Accent1 3 6 2 2" xfId="8358" xr:uid="{00000000-0005-0000-0000-000035040000}"/>
    <cellStyle name="40% - Accent1 3 6 2 2 2" xfId="16787" xr:uid="{EB75C7E6-763F-4075-9F04-21956E21A3DB}"/>
    <cellStyle name="40% - Accent1 3 6 2 3" xfId="12569" xr:uid="{2DBFA4CE-0B3A-4551-BDBD-48A7F5E07D24}"/>
    <cellStyle name="40% - Accent1 3 6 3" xfId="6213" xr:uid="{00000000-0005-0000-0000-000036040000}"/>
    <cellStyle name="40% - Accent1 3 6 3 2" xfId="14642" xr:uid="{6F61F1AD-B703-4EBC-A529-5C233C0E1096}"/>
    <cellStyle name="40% - Accent1 3 6 4" xfId="10424" xr:uid="{746AF152-769A-40B4-8A33-693D7C469A8B}"/>
    <cellStyle name="40% - Accent1 3 7" xfId="2318" xr:uid="{00000000-0005-0000-0000-000037040000}"/>
    <cellStyle name="40% - Accent1 3 7 2" xfId="6626" xr:uid="{00000000-0005-0000-0000-000038040000}"/>
    <cellStyle name="40% - Accent1 3 7 2 2" xfId="15055" xr:uid="{7EC1937C-78A9-4D59-B666-932698F06226}"/>
    <cellStyle name="40% - Accent1 3 7 3" xfId="10837" xr:uid="{3187CE5C-EFF4-4B63-BAA9-5245C89333E4}"/>
    <cellStyle name="40% - Accent1 3 8" xfId="4560" xr:uid="{00000000-0005-0000-0000-000039040000}"/>
    <cellStyle name="40% - Accent1 3 8 2" xfId="12989" xr:uid="{AAA5EC04-09CF-449E-A054-D95D043FFF3B}"/>
    <cellStyle name="40% - Accent1 3 9" xfId="8771" xr:uid="{844EAC0D-4B7C-4E33-AC5C-DC24C6BB1D01}"/>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2 2" xfId="15550" xr:uid="{AE045151-AA66-4916-8EF3-0921AF097A6C}"/>
    <cellStyle name="40% - Accent1 4 2 2 3" xfId="11332" xr:uid="{90C7920C-48C6-4C11-9788-A82327124CE4}"/>
    <cellStyle name="40% - Accent1 4 2 3" xfId="4976" xr:uid="{00000000-0005-0000-0000-00003E040000}"/>
    <cellStyle name="40% - Accent1 4 2 3 2" xfId="13405" xr:uid="{A9FA1FCB-D6BC-47F9-8DFF-C7333988FF16}"/>
    <cellStyle name="40% - Accent1 4 2 4" xfId="9187" xr:uid="{6121D481-F90F-401F-9FDF-45C98D7ECE51}"/>
    <cellStyle name="40% - Accent1 4 3" xfId="1079" xr:uid="{00000000-0005-0000-0000-00003F040000}"/>
    <cellStyle name="40% - Accent1 4 3 2" xfId="3310" xr:uid="{00000000-0005-0000-0000-000040040000}"/>
    <cellStyle name="40% - Accent1 4 3 2 2" xfId="7534" xr:uid="{00000000-0005-0000-0000-000041040000}"/>
    <cellStyle name="40% - Accent1 4 3 2 2 2" xfId="15963" xr:uid="{13644CF0-39FB-4E10-A06D-E6380308022E}"/>
    <cellStyle name="40% - Accent1 4 3 2 3" xfId="11745" xr:uid="{1F76679E-5223-49CC-AA43-D0A520338E90}"/>
    <cellStyle name="40% - Accent1 4 3 3" xfId="5389" xr:uid="{00000000-0005-0000-0000-000042040000}"/>
    <cellStyle name="40% - Accent1 4 3 3 2" xfId="13818" xr:uid="{A2466EED-7E1A-4ECF-8056-A0192BCB46AE}"/>
    <cellStyle name="40% - Accent1 4 3 4" xfId="9600" xr:uid="{777F8BEB-0DF4-4E7D-BE63-E6B2F36D0308}"/>
    <cellStyle name="40% - Accent1 4 4" xfId="1493" xr:uid="{00000000-0005-0000-0000-000043040000}"/>
    <cellStyle name="40% - Accent1 4 4 2" xfId="3723" xr:uid="{00000000-0005-0000-0000-000044040000}"/>
    <cellStyle name="40% - Accent1 4 4 2 2" xfId="7947" xr:uid="{00000000-0005-0000-0000-000045040000}"/>
    <cellStyle name="40% - Accent1 4 4 2 2 2" xfId="16376" xr:uid="{A49824B9-6F28-4952-9B81-37D5DFE3199D}"/>
    <cellStyle name="40% - Accent1 4 4 2 3" xfId="12158" xr:uid="{6BA86297-D0D6-4B02-9F7E-6002EBFC1F14}"/>
    <cellStyle name="40% - Accent1 4 4 3" xfId="5802" xr:uid="{00000000-0005-0000-0000-000046040000}"/>
    <cellStyle name="40% - Accent1 4 4 3 2" xfId="14231" xr:uid="{7D80227F-F225-44BA-B69E-8344304DBC54}"/>
    <cellStyle name="40% - Accent1 4 4 4" xfId="10013" xr:uid="{3DCC3AB0-8772-41EF-AEFF-54ED288EBA10}"/>
    <cellStyle name="40% - Accent1 4 5" xfId="1907" xr:uid="{00000000-0005-0000-0000-000047040000}"/>
    <cellStyle name="40% - Accent1 4 5 2" xfId="4136" xr:uid="{00000000-0005-0000-0000-000048040000}"/>
    <cellStyle name="40% - Accent1 4 5 2 2" xfId="8360" xr:uid="{00000000-0005-0000-0000-000049040000}"/>
    <cellStyle name="40% - Accent1 4 5 2 2 2" xfId="16789" xr:uid="{BDD5C8C3-B5A3-41CE-9479-B8F50D1713D6}"/>
    <cellStyle name="40% - Accent1 4 5 2 3" xfId="12571" xr:uid="{486E6D12-74BB-4609-BEE0-69C772E946C2}"/>
    <cellStyle name="40% - Accent1 4 5 3" xfId="6215" xr:uid="{00000000-0005-0000-0000-00004A040000}"/>
    <cellStyle name="40% - Accent1 4 5 3 2" xfId="14644" xr:uid="{A24B73FE-FA70-49F5-92CA-D32329CE66A1}"/>
    <cellStyle name="40% - Accent1 4 5 4" xfId="10426" xr:uid="{2BB8856C-7DA4-4F46-9388-FDD3C58F4D2E}"/>
    <cellStyle name="40% - Accent1 4 6" xfId="2320" xr:uid="{00000000-0005-0000-0000-00004B040000}"/>
    <cellStyle name="40% - Accent1 4 6 2" xfId="6628" xr:uid="{00000000-0005-0000-0000-00004C040000}"/>
    <cellStyle name="40% - Accent1 4 6 2 2" xfId="15057" xr:uid="{ED8063AA-E7AF-40B1-92A0-3611B0E61984}"/>
    <cellStyle name="40% - Accent1 4 6 3" xfId="10839" xr:uid="{38971BDF-C835-4532-9056-56E215177B04}"/>
    <cellStyle name="40% - Accent1 4 7" xfId="4562" xr:uid="{00000000-0005-0000-0000-00004D040000}"/>
    <cellStyle name="40% - Accent1 4 7 2" xfId="12991" xr:uid="{3B60A0B4-C6F0-4598-B86C-A9F05615BB40}"/>
    <cellStyle name="40% - Accent1 4 8" xfId="8773" xr:uid="{04B01997-2DF7-4E2A-BC10-D2D26E30A7F4}"/>
    <cellStyle name="40% - Accent1 5" xfId="619" xr:uid="{00000000-0005-0000-0000-00004E040000}"/>
    <cellStyle name="40% - Accent1 5 2" xfId="2890" xr:uid="{00000000-0005-0000-0000-00004F040000}"/>
    <cellStyle name="40% - Accent1 5 2 2" xfId="7114" xr:uid="{00000000-0005-0000-0000-000050040000}"/>
    <cellStyle name="40% - Accent1 5 2 2 2" xfId="15543" xr:uid="{D371D2F6-2C0E-49B9-A0AD-D018EF85656C}"/>
    <cellStyle name="40% - Accent1 5 2 3" xfId="11325" xr:uid="{5B883411-7656-416C-90FD-9AA174344D36}"/>
    <cellStyle name="40% - Accent1 5 3" xfId="4969" xr:uid="{00000000-0005-0000-0000-000051040000}"/>
    <cellStyle name="40% - Accent1 5 3 2" xfId="13398" xr:uid="{3002BB01-B0FF-4518-8535-C23A50B67E2D}"/>
    <cellStyle name="40% - Accent1 5 4" xfId="9180" xr:uid="{D535B97D-4EF3-4654-B1DA-0FDD48854A8F}"/>
    <cellStyle name="40% - Accent1 6" xfId="1072" xr:uid="{00000000-0005-0000-0000-000052040000}"/>
    <cellStyle name="40% - Accent1 6 2" xfId="3303" xr:uid="{00000000-0005-0000-0000-000053040000}"/>
    <cellStyle name="40% - Accent1 6 2 2" xfId="7527" xr:uid="{00000000-0005-0000-0000-000054040000}"/>
    <cellStyle name="40% - Accent1 6 2 2 2" xfId="15956" xr:uid="{2C7DC791-5532-439B-9C6E-41B29567CE89}"/>
    <cellStyle name="40% - Accent1 6 2 3" xfId="11738" xr:uid="{4FAF5A03-4507-4237-8A48-8E49953201E2}"/>
    <cellStyle name="40% - Accent1 6 3" xfId="5382" xr:uid="{00000000-0005-0000-0000-000055040000}"/>
    <cellStyle name="40% - Accent1 6 3 2" xfId="13811" xr:uid="{18710330-89CA-4A28-B44C-760E24C17464}"/>
    <cellStyle name="40% - Accent1 6 4" xfId="9593" xr:uid="{B049028F-F657-4DCF-B0BB-9E8F3A56542A}"/>
    <cellStyle name="40% - Accent1 7" xfId="1486" xr:uid="{00000000-0005-0000-0000-000056040000}"/>
    <cellStyle name="40% - Accent1 7 2" xfId="3716" xr:uid="{00000000-0005-0000-0000-000057040000}"/>
    <cellStyle name="40% - Accent1 7 2 2" xfId="7940" xr:uid="{00000000-0005-0000-0000-000058040000}"/>
    <cellStyle name="40% - Accent1 7 2 2 2" xfId="16369" xr:uid="{93886B21-850F-4AD9-B59E-3A76F6E5F1C8}"/>
    <cellStyle name="40% - Accent1 7 2 3" xfId="12151" xr:uid="{06A6C295-422D-4AAC-816F-5A655AE04345}"/>
    <cellStyle name="40% - Accent1 7 3" xfId="5795" xr:uid="{00000000-0005-0000-0000-000059040000}"/>
    <cellStyle name="40% - Accent1 7 3 2" xfId="14224" xr:uid="{772B1BCB-75F7-402A-8B65-FCF05D88491F}"/>
    <cellStyle name="40% - Accent1 7 4" xfId="10006" xr:uid="{6494814E-CFF4-49AB-B15F-890BE21BAACD}"/>
    <cellStyle name="40% - Accent1 8" xfId="1900" xr:uid="{00000000-0005-0000-0000-00005A040000}"/>
    <cellStyle name="40% - Accent1 8 2" xfId="4129" xr:uid="{00000000-0005-0000-0000-00005B040000}"/>
    <cellStyle name="40% - Accent1 8 2 2" xfId="8353" xr:uid="{00000000-0005-0000-0000-00005C040000}"/>
    <cellStyle name="40% - Accent1 8 2 2 2" xfId="16782" xr:uid="{68C962FC-F13A-4DAF-9F45-CCC8E7E843AA}"/>
    <cellStyle name="40% - Accent1 8 2 3" xfId="12564" xr:uid="{AD258A0C-C761-4911-9E15-AA7F07A5A5DF}"/>
    <cellStyle name="40% - Accent1 8 3" xfId="6208" xr:uid="{00000000-0005-0000-0000-00005D040000}"/>
    <cellStyle name="40% - Accent1 8 3 2" xfId="14637" xr:uid="{EF83151B-2AAC-4EBA-A16D-9631C35B42B5}"/>
    <cellStyle name="40% - Accent1 8 4" xfId="10419" xr:uid="{7772E72F-7DD3-416B-BC6C-C5D04099C553}"/>
    <cellStyle name="40% - Accent1 9" xfId="2313" xr:uid="{00000000-0005-0000-0000-00005E040000}"/>
    <cellStyle name="40% - Accent1 9 2" xfId="6621" xr:uid="{00000000-0005-0000-0000-00005F040000}"/>
    <cellStyle name="40% - Accent1 9 2 2" xfId="15050" xr:uid="{8B922E7F-71F3-4707-954A-682AAA47F40F}"/>
    <cellStyle name="40% - Accent1 9 3" xfId="10832" xr:uid="{28C9B4DE-DB94-4374-A204-A89CD293BC84}"/>
    <cellStyle name="40% - Accent2" xfId="57" builtinId="35" customBuiltin="1"/>
    <cellStyle name="40% - Accent2 10" xfId="4563" xr:uid="{00000000-0005-0000-0000-000061040000}"/>
    <cellStyle name="40% - Accent2 10 2" xfId="12992" xr:uid="{D7A50FF3-D342-47F3-8399-75FC1BA4AB55}"/>
    <cellStyle name="40% - Accent2 11" xfId="8774" xr:uid="{58F75123-6DEA-4266-A23B-DF6268234A62}"/>
    <cellStyle name="40% - Accent2 2" xfId="58" xr:uid="{00000000-0005-0000-0000-000062040000}"/>
    <cellStyle name="40% - Accent2 2 10" xfId="8775" xr:uid="{0AEF1614-DE34-46CA-A147-A9B347DEFA28}"/>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2 2" xfId="15554" xr:uid="{CADEC5CF-A4BF-42D1-B114-C355A12B47C6}"/>
    <cellStyle name="40% - Accent2 2 2 2 2 2 3" xfId="11336" xr:uid="{775DA230-9EC6-4218-865C-51942BDFAE8B}"/>
    <cellStyle name="40% - Accent2 2 2 2 2 3" xfId="4980" xr:uid="{00000000-0005-0000-0000-000068040000}"/>
    <cellStyle name="40% - Accent2 2 2 2 2 3 2" xfId="13409" xr:uid="{50D24C22-017E-4419-B3F2-7F8E975AE11A}"/>
    <cellStyle name="40% - Accent2 2 2 2 2 4" xfId="9191" xr:uid="{EE2ED1B2-357A-463D-BF4E-76A5F680B05D}"/>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2 2" xfId="15967" xr:uid="{F30C067D-1199-4568-9AEA-D1B1AFD22C75}"/>
    <cellStyle name="40% - Accent2 2 2 2 3 2 3" xfId="11749" xr:uid="{E8BFEBCD-EFF8-4731-81DD-99AEA6F11B0E}"/>
    <cellStyle name="40% - Accent2 2 2 2 3 3" xfId="5393" xr:uid="{00000000-0005-0000-0000-00006C040000}"/>
    <cellStyle name="40% - Accent2 2 2 2 3 3 2" xfId="13822" xr:uid="{5A94BBC0-E6E9-4FCC-9F62-5CD5A31C86BA}"/>
    <cellStyle name="40% - Accent2 2 2 2 3 4" xfId="9604" xr:uid="{4DD90529-02B8-41F0-92A8-ECD53FE3BC8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2 2" xfId="16380" xr:uid="{B49DAD19-0F60-4E56-B13C-28F7F670F95F}"/>
    <cellStyle name="40% - Accent2 2 2 2 4 2 3" xfId="12162" xr:uid="{F0BD9A77-32FF-4953-8E4D-6BB18C62D36E}"/>
    <cellStyle name="40% - Accent2 2 2 2 4 3" xfId="5806" xr:uid="{00000000-0005-0000-0000-000070040000}"/>
    <cellStyle name="40% - Accent2 2 2 2 4 3 2" xfId="14235" xr:uid="{18828693-AAAB-47E1-9E49-493FA59A3CF6}"/>
    <cellStyle name="40% - Accent2 2 2 2 4 4" xfId="10017" xr:uid="{DF67F483-46BA-46A6-82C3-34D0DDD9A2A9}"/>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2 2" xfId="16793" xr:uid="{9ADE11B9-CFA4-442B-90EF-73B0C7AB0EEE}"/>
    <cellStyle name="40% - Accent2 2 2 2 5 2 3" xfId="12575" xr:uid="{45DB4262-15CD-4ECD-9E90-3D0207BAAF66}"/>
    <cellStyle name="40% - Accent2 2 2 2 5 3" xfId="6219" xr:uid="{00000000-0005-0000-0000-000074040000}"/>
    <cellStyle name="40% - Accent2 2 2 2 5 3 2" xfId="14648" xr:uid="{B1675EB7-D6BE-4762-8324-E27BEB3780FE}"/>
    <cellStyle name="40% - Accent2 2 2 2 5 4" xfId="10430" xr:uid="{DB655800-8703-44BA-BC8E-FDD906003316}"/>
    <cellStyle name="40% - Accent2 2 2 2 6" xfId="2324" xr:uid="{00000000-0005-0000-0000-000075040000}"/>
    <cellStyle name="40% - Accent2 2 2 2 6 2" xfId="6632" xr:uid="{00000000-0005-0000-0000-000076040000}"/>
    <cellStyle name="40% - Accent2 2 2 2 6 2 2" xfId="15061" xr:uid="{10F3808A-45E2-4956-A2F9-FA4BEFC9D81F}"/>
    <cellStyle name="40% - Accent2 2 2 2 6 3" xfId="10843" xr:uid="{8F222471-72EC-4439-9D80-D4104E1A6504}"/>
    <cellStyle name="40% - Accent2 2 2 2 7" xfId="4566" xr:uid="{00000000-0005-0000-0000-000077040000}"/>
    <cellStyle name="40% - Accent2 2 2 2 7 2" xfId="12995" xr:uid="{68729C6E-971C-452C-B1F9-D05B04B7DFBB}"/>
    <cellStyle name="40% - Accent2 2 2 2 8" xfId="8777" xr:uid="{B76E5758-D23D-4F4C-AB91-63CF768DF0E5}"/>
    <cellStyle name="40% - Accent2 2 2 3" xfId="629" xr:uid="{00000000-0005-0000-0000-000078040000}"/>
    <cellStyle name="40% - Accent2 2 2 3 2" xfId="2900" xr:uid="{00000000-0005-0000-0000-000079040000}"/>
    <cellStyle name="40% - Accent2 2 2 3 2 2" xfId="7124" xr:uid="{00000000-0005-0000-0000-00007A040000}"/>
    <cellStyle name="40% - Accent2 2 2 3 2 2 2" xfId="15553" xr:uid="{13C2AA9A-080B-49AC-B257-D2836F390115}"/>
    <cellStyle name="40% - Accent2 2 2 3 2 3" xfId="11335" xr:uid="{94673C99-8115-4652-97FE-8C3754C21620}"/>
    <cellStyle name="40% - Accent2 2 2 3 3" xfId="4979" xr:uid="{00000000-0005-0000-0000-00007B040000}"/>
    <cellStyle name="40% - Accent2 2 2 3 3 2" xfId="13408" xr:uid="{E701B5C0-86DD-4391-B6FD-21BD2C28D227}"/>
    <cellStyle name="40% - Accent2 2 2 3 4" xfId="9190" xr:uid="{642FA21D-D9F9-4422-AEF3-FB2218C53DC9}"/>
    <cellStyle name="40% - Accent2 2 2 4" xfId="1082" xr:uid="{00000000-0005-0000-0000-00007C040000}"/>
    <cellStyle name="40% - Accent2 2 2 4 2" xfId="3313" xr:uid="{00000000-0005-0000-0000-00007D040000}"/>
    <cellStyle name="40% - Accent2 2 2 4 2 2" xfId="7537" xr:uid="{00000000-0005-0000-0000-00007E040000}"/>
    <cellStyle name="40% - Accent2 2 2 4 2 2 2" xfId="15966" xr:uid="{165E4ECE-4EFF-40D3-BE48-CD3B74429864}"/>
    <cellStyle name="40% - Accent2 2 2 4 2 3" xfId="11748" xr:uid="{6A07659E-4419-4259-B009-763B69C8EA24}"/>
    <cellStyle name="40% - Accent2 2 2 4 3" xfId="5392" xr:uid="{00000000-0005-0000-0000-00007F040000}"/>
    <cellStyle name="40% - Accent2 2 2 4 3 2" xfId="13821" xr:uid="{E71655BC-5D7A-4CC8-8AC7-C2019441360D}"/>
    <cellStyle name="40% - Accent2 2 2 4 4" xfId="9603" xr:uid="{01546723-5F40-4B88-AC75-13C651DE9B80}"/>
    <cellStyle name="40% - Accent2 2 2 5" xfId="1496" xr:uid="{00000000-0005-0000-0000-000080040000}"/>
    <cellStyle name="40% - Accent2 2 2 5 2" xfId="3726" xr:uid="{00000000-0005-0000-0000-000081040000}"/>
    <cellStyle name="40% - Accent2 2 2 5 2 2" xfId="7950" xr:uid="{00000000-0005-0000-0000-000082040000}"/>
    <cellStyle name="40% - Accent2 2 2 5 2 2 2" xfId="16379" xr:uid="{FDCB2095-72FC-4A7F-982A-ACB8A7CC8350}"/>
    <cellStyle name="40% - Accent2 2 2 5 2 3" xfId="12161" xr:uid="{1A29CAEC-48ED-40DD-82F0-A9F580AF9808}"/>
    <cellStyle name="40% - Accent2 2 2 5 3" xfId="5805" xr:uid="{00000000-0005-0000-0000-000083040000}"/>
    <cellStyle name="40% - Accent2 2 2 5 3 2" xfId="14234" xr:uid="{F816DFA8-6862-49FE-9331-2D915C228E2F}"/>
    <cellStyle name="40% - Accent2 2 2 5 4" xfId="10016" xr:uid="{B78C85DD-6EC3-40B3-A052-E25C1BC07508}"/>
    <cellStyle name="40% - Accent2 2 2 6" xfId="1910" xr:uid="{00000000-0005-0000-0000-000084040000}"/>
    <cellStyle name="40% - Accent2 2 2 6 2" xfId="4139" xr:uid="{00000000-0005-0000-0000-000085040000}"/>
    <cellStyle name="40% - Accent2 2 2 6 2 2" xfId="8363" xr:uid="{00000000-0005-0000-0000-000086040000}"/>
    <cellStyle name="40% - Accent2 2 2 6 2 2 2" xfId="16792" xr:uid="{EDF5D25B-DFF0-4E78-9E1D-64CC74D8F82E}"/>
    <cellStyle name="40% - Accent2 2 2 6 2 3" xfId="12574" xr:uid="{3DEF18D3-CF23-42E7-8133-E89998826E74}"/>
    <cellStyle name="40% - Accent2 2 2 6 3" xfId="6218" xr:uid="{00000000-0005-0000-0000-000087040000}"/>
    <cellStyle name="40% - Accent2 2 2 6 3 2" xfId="14647" xr:uid="{00D314D8-0EAF-4753-B431-8214E36997F0}"/>
    <cellStyle name="40% - Accent2 2 2 6 4" xfId="10429" xr:uid="{AADB2DD9-A2CE-44BC-8608-1D23BC842CDB}"/>
    <cellStyle name="40% - Accent2 2 2 7" xfId="2323" xr:uid="{00000000-0005-0000-0000-000088040000}"/>
    <cellStyle name="40% - Accent2 2 2 7 2" xfId="6631" xr:uid="{00000000-0005-0000-0000-000089040000}"/>
    <cellStyle name="40% - Accent2 2 2 7 2 2" xfId="15060" xr:uid="{6BB0468F-7384-48F5-95A3-AA2A5378313B}"/>
    <cellStyle name="40% - Accent2 2 2 7 3" xfId="10842" xr:uid="{4ED2BEC0-5E8E-435E-B127-C95EADD7EABA}"/>
    <cellStyle name="40% - Accent2 2 2 8" xfId="4565" xr:uid="{00000000-0005-0000-0000-00008A040000}"/>
    <cellStyle name="40% - Accent2 2 2 8 2" xfId="12994" xr:uid="{398888C3-969C-4067-BECB-F28C2C81555C}"/>
    <cellStyle name="40% - Accent2 2 2 9" xfId="8776" xr:uid="{20D1A933-D75F-411E-A24D-BC9B928578AC}"/>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2 2" xfId="15555" xr:uid="{8500B937-17F9-40E4-B529-CE24B268629D}"/>
    <cellStyle name="40% - Accent2 2 3 2 2 3" xfId="11337" xr:uid="{9232B190-89BA-4BCF-AA0E-F4A633AAA02D}"/>
    <cellStyle name="40% - Accent2 2 3 2 3" xfId="4981" xr:uid="{00000000-0005-0000-0000-00008F040000}"/>
    <cellStyle name="40% - Accent2 2 3 2 3 2" xfId="13410" xr:uid="{7C957DF7-A660-49DE-9515-F612B11C20FE}"/>
    <cellStyle name="40% - Accent2 2 3 2 4" xfId="9192" xr:uid="{F6509147-FB09-46D1-B2A6-D86CE767AA4D}"/>
    <cellStyle name="40% - Accent2 2 3 3" xfId="1084" xr:uid="{00000000-0005-0000-0000-000090040000}"/>
    <cellStyle name="40% - Accent2 2 3 3 2" xfId="3315" xr:uid="{00000000-0005-0000-0000-000091040000}"/>
    <cellStyle name="40% - Accent2 2 3 3 2 2" xfId="7539" xr:uid="{00000000-0005-0000-0000-000092040000}"/>
    <cellStyle name="40% - Accent2 2 3 3 2 2 2" xfId="15968" xr:uid="{56F1D3C8-482A-48D6-864F-CF687128948C}"/>
    <cellStyle name="40% - Accent2 2 3 3 2 3" xfId="11750" xr:uid="{23B06C3B-EE16-4FAA-9FBF-4D2842A0063E}"/>
    <cellStyle name="40% - Accent2 2 3 3 3" xfId="5394" xr:uid="{00000000-0005-0000-0000-000093040000}"/>
    <cellStyle name="40% - Accent2 2 3 3 3 2" xfId="13823" xr:uid="{42F2F180-95C5-4AF3-9467-0325208580A2}"/>
    <cellStyle name="40% - Accent2 2 3 3 4" xfId="9605" xr:uid="{1B68B3F2-D403-42E8-AFA8-4DF0FA870913}"/>
    <cellStyle name="40% - Accent2 2 3 4" xfId="1498" xr:uid="{00000000-0005-0000-0000-000094040000}"/>
    <cellStyle name="40% - Accent2 2 3 4 2" xfId="3728" xr:uid="{00000000-0005-0000-0000-000095040000}"/>
    <cellStyle name="40% - Accent2 2 3 4 2 2" xfId="7952" xr:uid="{00000000-0005-0000-0000-000096040000}"/>
    <cellStyle name="40% - Accent2 2 3 4 2 2 2" xfId="16381" xr:uid="{E11C7C76-14FC-412B-BA92-FDD24DA69381}"/>
    <cellStyle name="40% - Accent2 2 3 4 2 3" xfId="12163" xr:uid="{FA9D3408-0BC3-4D7A-9847-5FE49BF9E300}"/>
    <cellStyle name="40% - Accent2 2 3 4 3" xfId="5807" xr:uid="{00000000-0005-0000-0000-000097040000}"/>
    <cellStyle name="40% - Accent2 2 3 4 3 2" xfId="14236" xr:uid="{EF9E70E9-E94D-468B-8E5D-DCC6759E64BF}"/>
    <cellStyle name="40% - Accent2 2 3 4 4" xfId="10018" xr:uid="{31F38979-2179-495F-8312-5BA670B802AA}"/>
    <cellStyle name="40% - Accent2 2 3 5" xfId="1912" xr:uid="{00000000-0005-0000-0000-000098040000}"/>
    <cellStyle name="40% - Accent2 2 3 5 2" xfId="4141" xr:uid="{00000000-0005-0000-0000-000099040000}"/>
    <cellStyle name="40% - Accent2 2 3 5 2 2" xfId="8365" xr:uid="{00000000-0005-0000-0000-00009A040000}"/>
    <cellStyle name="40% - Accent2 2 3 5 2 2 2" xfId="16794" xr:uid="{984CE292-08CD-4A85-81FB-EDDB2B1CFA17}"/>
    <cellStyle name="40% - Accent2 2 3 5 2 3" xfId="12576" xr:uid="{47ACE767-87C1-49D5-95D9-60E575F6F6C5}"/>
    <cellStyle name="40% - Accent2 2 3 5 3" xfId="6220" xr:uid="{00000000-0005-0000-0000-00009B040000}"/>
    <cellStyle name="40% - Accent2 2 3 5 3 2" xfId="14649" xr:uid="{764064FD-50D6-4653-8C7A-18C27DD0B46E}"/>
    <cellStyle name="40% - Accent2 2 3 5 4" xfId="10431" xr:uid="{993E7166-C061-4532-A7DF-8E5298A5EFA2}"/>
    <cellStyle name="40% - Accent2 2 3 6" xfId="2325" xr:uid="{00000000-0005-0000-0000-00009C040000}"/>
    <cellStyle name="40% - Accent2 2 3 6 2" xfId="6633" xr:uid="{00000000-0005-0000-0000-00009D040000}"/>
    <cellStyle name="40% - Accent2 2 3 6 2 2" xfId="15062" xr:uid="{3A64DC91-0B3C-42D0-BFC2-A1F4F2A4E608}"/>
    <cellStyle name="40% - Accent2 2 3 6 3" xfId="10844" xr:uid="{42028890-11FA-4EEE-A501-92FD585302DE}"/>
    <cellStyle name="40% - Accent2 2 3 7" xfId="4567" xr:uid="{00000000-0005-0000-0000-00009E040000}"/>
    <cellStyle name="40% - Accent2 2 3 7 2" xfId="12996" xr:uid="{8FEB11FE-F6EC-4487-A8B1-2F275B6A14F7}"/>
    <cellStyle name="40% - Accent2 2 3 8" xfId="8778" xr:uid="{F1A9C08B-A94F-4D1D-ABD1-0970D77686E3}"/>
    <cellStyle name="40% - Accent2 2 4" xfId="628" xr:uid="{00000000-0005-0000-0000-00009F040000}"/>
    <cellStyle name="40% - Accent2 2 4 2" xfId="2899" xr:uid="{00000000-0005-0000-0000-0000A0040000}"/>
    <cellStyle name="40% - Accent2 2 4 2 2" xfId="7123" xr:uid="{00000000-0005-0000-0000-0000A1040000}"/>
    <cellStyle name="40% - Accent2 2 4 2 2 2" xfId="15552" xr:uid="{590FDC54-1125-4019-B249-4CCACF32B4F6}"/>
    <cellStyle name="40% - Accent2 2 4 2 3" xfId="11334" xr:uid="{A511D7FB-6698-4EE8-9D1F-2FF3F6119715}"/>
    <cellStyle name="40% - Accent2 2 4 3" xfId="4978" xr:uid="{00000000-0005-0000-0000-0000A2040000}"/>
    <cellStyle name="40% - Accent2 2 4 3 2" xfId="13407" xr:uid="{7EC3AF14-939B-4B2A-867B-4D2234BC87E3}"/>
    <cellStyle name="40% - Accent2 2 4 4" xfId="9189" xr:uid="{62DE4C4F-858B-41C5-944E-062E859FFB96}"/>
    <cellStyle name="40% - Accent2 2 5" xfId="1081" xr:uid="{00000000-0005-0000-0000-0000A3040000}"/>
    <cellStyle name="40% - Accent2 2 5 2" xfId="3312" xr:uid="{00000000-0005-0000-0000-0000A4040000}"/>
    <cellStyle name="40% - Accent2 2 5 2 2" xfId="7536" xr:uid="{00000000-0005-0000-0000-0000A5040000}"/>
    <cellStyle name="40% - Accent2 2 5 2 2 2" xfId="15965" xr:uid="{73135D7B-8373-455A-B39A-E4E483EAD879}"/>
    <cellStyle name="40% - Accent2 2 5 2 3" xfId="11747" xr:uid="{1876460B-3395-4CA4-870F-FA530E6574D1}"/>
    <cellStyle name="40% - Accent2 2 5 3" xfId="5391" xr:uid="{00000000-0005-0000-0000-0000A6040000}"/>
    <cellStyle name="40% - Accent2 2 5 3 2" xfId="13820" xr:uid="{0C8DB767-96FC-4806-B891-D463B5C86301}"/>
    <cellStyle name="40% - Accent2 2 5 4" xfId="9602" xr:uid="{936152ED-1168-469C-9708-E0AF385BC3BF}"/>
    <cellStyle name="40% - Accent2 2 6" xfId="1495" xr:uid="{00000000-0005-0000-0000-0000A7040000}"/>
    <cellStyle name="40% - Accent2 2 6 2" xfId="3725" xr:uid="{00000000-0005-0000-0000-0000A8040000}"/>
    <cellStyle name="40% - Accent2 2 6 2 2" xfId="7949" xr:uid="{00000000-0005-0000-0000-0000A9040000}"/>
    <cellStyle name="40% - Accent2 2 6 2 2 2" xfId="16378" xr:uid="{A3A8BF96-3785-4BA2-8C0F-4A17242DE186}"/>
    <cellStyle name="40% - Accent2 2 6 2 3" xfId="12160" xr:uid="{8AD486BC-3DB4-4B2A-9C36-453C3FE74FB4}"/>
    <cellStyle name="40% - Accent2 2 6 3" xfId="5804" xr:uid="{00000000-0005-0000-0000-0000AA040000}"/>
    <cellStyle name="40% - Accent2 2 6 3 2" xfId="14233" xr:uid="{8FF35FC5-171A-47AC-903A-BCC61B572E89}"/>
    <cellStyle name="40% - Accent2 2 6 4" xfId="10015" xr:uid="{934A30E3-1D4D-4935-8492-52C98A1A94D4}"/>
    <cellStyle name="40% - Accent2 2 7" xfId="1909" xr:uid="{00000000-0005-0000-0000-0000AB040000}"/>
    <cellStyle name="40% - Accent2 2 7 2" xfId="4138" xr:uid="{00000000-0005-0000-0000-0000AC040000}"/>
    <cellStyle name="40% - Accent2 2 7 2 2" xfId="8362" xr:uid="{00000000-0005-0000-0000-0000AD040000}"/>
    <cellStyle name="40% - Accent2 2 7 2 2 2" xfId="16791" xr:uid="{6F0A7205-0E50-4C53-AEDA-48884FC2A598}"/>
    <cellStyle name="40% - Accent2 2 7 2 3" xfId="12573" xr:uid="{332E425F-20B1-4F83-B1F1-D9EC3FEEDDD1}"/>
    <cellStyle name="40% - Accent2 2 7 3" xfId="6217" xr:uid="{00000000-0005-0000-0000-0000AE040000}"/>
    <cellStyle name="40% - Accent2 2 7 3 2" xfId="14646" xr:uid="{EAEFB7BA-0FB0-49B1-82CA-ADB7B5007CEA}"/>
    <cellStyle name="40% - Accent2 2 7 4" xfId="10428" xr:uid="{F3018439-7353-450E-8101-0F965C438629}"/>
    <cellStyle name="40% - Accent2 2 8" xfId="2322" xr:uid="{00000000-0005-0000-0000-0000AF040000}"/>
    <cellStyle name="40% - Accent2 2 8 2" xfId="6630" xr:uid="{00000000-0005-0000-0000-0000B0040000}"/>
    <cellStyle name="40% - Accent2 2 8 2 2" xfId="15059" xr:uid="{9872214E-52F4-4C51-BAA8-2C4448788781}"/>
    <cellStyle name="40% - Accent2 2 8 3" xfId="10841" xr:uid="{020DE513-D28D-49B8-B53C-777B24BB24C6}"/>
    <cellStyle name="40% - Accent2 2 9" xfId="4564" xr:uid="{00000000-0005-0000-0000-0000B1040000}"/>
    <cellStyle name="40% - Accent2 2 9 2" xfId="12993" xr:uid="{77638BE6-BEA7-4BB2-B42D-B62BECDFF1BE}"/>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2 2" xfId="15557" xr:uid="{FE0DC545-AE0A-41A3-96CA-1620169F6109}"/>
    <cellStyle name="40% - Accent2 3 2 2 2 3" xfId="11339" xr:uid="{A02D67EB-BC82-4AF6-8994-DC0F270BE181}"/>
    <cellStyle name="40% - Accent2 3 2 2 3" xfId="4983" xr:uid="{00000000-0005-0000-0000-0000B7040000}"/>
    <cellStyle name="40% - Accent2 3 2 2 3 2" xfId="13412" xr:uid="{9034413A-C2AD-4673-B5A2-D32222E40D33}"/>
    <cellStyle name="40% - Accent2 3 2 2 4" xfId="9194" xr:uid="{7436A6CA-1763-436C-91A8-9E8A76E11338}"/>
    <cellStyle name="40% - Accent2 3 2 3" xfId="1086" xr:uid="{00000000-0005-0000-0000-0000B8040000}"/>
    <cellStyle name="40% - Accent2 3 2 3 2" xfId="3317" xr:uid="{00000000-0005-0000-0000-0000B9040000}"/>
    <cellStyle name="40% - Accent2 3 2 3 2 2" xfId="7541" xr:uid="{00000000-0005-0000-0000-0000BA040000}"/>
    <cellStyle name="40% - Accent2 3 2 3 2 2 2" xfId="15970" xr:uid="{A97C477C-ECE9-4DF2-B6BF-077725760846}"/>
    <cellStyle name="40% - Accent2 3 2 3 2 3" xfId="11752" xr:uid="{3AAFC2A0-6C87-4495-9243-AEA60AFADB66}"/>
    <cellStyle name="40% - Accent2 3 2 3 3" xfId="5396" xr:uid="{00000000-0005-0000-0000-0000BB040000}"/>
    <cellStyle name="40% - Accent2 3 2 3 3 2" xfId="13825" xr:uid="{043F84FD-39A0-49B3-B655-63CF0AF5E73D}"/>
    <cellStyle name="40% - Accent2 3 2 3 4" xfId="9607" xr:uid="{581D111A-68C9-4FB1-865C-87BCF2D754D4}"/>
    <cellStyle name="40% - Accent2 3 2 4" xfId="1500" xr:uid="{00000000-0005-0000-0000-0000BC040000}"/>
    <cellStyle name="40% - Accent2 3 2 4 2" xfId="3730" xr:uid="{00000000-0005-0000-0000-0000BD040000}"/>
    <cellStyle name="40% - Accent2 3 2 4 2 2" xfId="7954" xr:uid="{00000000-0005-0000-0000-0000BE040000}"/>
    <cellStyle name="40% - Accent2 3 2 4 2 2 2" xfId="16383" xr:uid="{1E2B0955-F813-4461-8E74-F0A13587CB6C}"/>
    <cellStyle name="40% - Accent2 3 2 4 2 3" xfId="12165" xr:uid="{620CBDA3-4397-4878-B513-CDE3084EB17D}"/>
    <cellStyle name="40% - Accent2 3 2 4 3" xfId="5809" xr:uid="{00000000-0005-0000-0000-0000BF040000}"/>
    <cellStyle name="40% - Accent2 3 2 4 3 2" xfId="14238" xr:uid="{7CF6169B-0A91-4E92-8266-8838B98883CB}"/>
    <cellStyle name="40% - Accent2 3 2 4 4" xfId="10020" xr:uid="{FAA6D82D-2763-4ED7-8B24-43528DE181F9}"/>
    <cellStyle name="40% - Accent2 3 2 5" xfId="1914" xr:uid="{00000000-0005-0000-0000-0000C0040000}"/>
    <cellStyle name="40% - Accent2 3 2 5 2" xfId="4143" xr:uid="{00000000-0005-0000-0000-0000C1040000}"/>
    <cellStyle name="40% - Accent2 3 2 5 2 2" xfId="8367" xr:uid="{00000000-0005-0000-0000-0000C2040000}"/>
    <cellStyle name="40% - Accent2 3 2 5 2 2 2" xfId="16796" xr:uid="{30E00EC2-3C6F-460F-913A-701F1A93AE42}"/>
    <cellStyle name="40% - Accent2 3 2 5 2 3" xfId="12578" xr:uid="{F84E95A4-861F-45AE-A4E4-FEAF29A2C7A2}"/>
    <cellStyle name="40% - Accent2 3 2 5 3" xfId="6222" xr:uid="{00000000-0005-0000-0000-0000C3040000}"/>
    <cellStyle name="40% - Accent2 3 2 5 3 2" xfId="14651" xr:uid="{53A23472-D255-4693-8D3E-7785678E75AF}"/>
    <cellStyle name="40% - Accent2 3 2 5 4" xfId="10433" xr:uid="{94101ADC-BEB2-4AF6-8A15-86B0E852A92C}"/>
    <cellStyle name="40% - Accent2 3 2 6" xfId="2327" xr:uid="{00000000-0005-0000-0000-0000C4040000}"/>
    <cellStyle name="40% - Accent2 3 2 6 2" xfId="6635" xr:uid="{00000000-0005-0000-0000-0000C5040000}"/>
    <cellStyle name="40% - Accent2 3 2 6 2 2" xfId="15064" xr:uid="{3D6399CB-4DE0-444F-8408-10D0EE22EF0B}"/>
    <cellStyle name="40% - Accent2 3 2 6 3" xfId="10846" xr:uid="{41D1089C-9523-4C10-BDF3-5257CA60D283}"/>
    <cellStyle name="40% - Accent2 3 2 7" xfId="4569" xr:uid="{00000000-0005-0000-0000-0000C6040000}"/>
    <cellStyle name="40% - Accent2 3 2 7 2" xfId="12998" xr:uid="{A4AD37EE-A5A8-466C-B893-64610B8B7984}"/>
    <cellStyle name="40% - Accent2 3 2 8" xfId="8780" xr:uid="{2777F800-D791-4A13-A5F4-32418C13621B}"/>
    <cellStyle name="40% - Accent2 3 3" xfId="632" xr:uid="{00000000-0005-0000-0000-0000C7040000}"/>
    <cellStyle name="40% - Accent2 3 3 2" xfId="2903" xr:uid="{00000000-0005-0000-0000-0000C8040000}"/>
    <cellStyle name="40% - Accent2 3 3 2 2" xfId="7127" xr:uid="{00000000-0005-0000-0000-0000C9040000}"/>
    <cellStyle name="40% - Accent2 3 3 2 2 2" xfId="15556" xr:uid="{0257F658-9907-4C9E-A3D9-8D4F74110B26}"/>
    <cellStyle name="40% - Accent2 3 3 2 3" xfId="11338" xr:uid="{B91E3937-3824-4001-9838-4F27C930C4C3}"/>
    <cellStyle name="40% - Accent2 3 3 3" xfId="4982" xr:uid="{00000000-0005-0000-0000-0000CA040000}"/>
    <cellStyle name="40% - Accent2 3 3 3 2" xfId="13411" xr:uid="{4007C00E-BF32-4ABE-AC0C-4781C177B204}"/>
    <cellStyle name="40% - Accent2 3 3 4" xfId="9193" xr:uid="{142E1E8E-82F2-49BF-A488-698E130C253C}"/>
    <cellStyle name="40% - Accent2 3 4" xfId="1085" xr:uid="{00000000-0005-0000-0000-0000CB040000}"/>
    <cellStyle name="40% - Accent2 3 4 2" xfId="3316" xr:uid="{00000000-0005-0000-0000-0000CC040000}"/>
    <cellStyle name="40% - Accent2 3 4 2 2" xfId="7540" xr:uid="{00000000-0005-0000-0000-0000CD040000}"/>
    <cellStyle name="40% - Accent2 3 4 2 2 2" xfId="15969" xr:uid="{E296FE35-710C-4622-803D-84658CD1A6DD}"/>
    <cellStyle name="40% - Accent2 3 4 2 3" xfId="11751" xr:uid="{4E2F6F07-8A23-42DE-859C-C1B1E1BFFD44}"/>
    <cellStyle name="40% - Accent2 3 4 3" xfId="5395" xr:uid="{00000000-0005-0000-0000-0000CE040000}"/>
    <cellStyle name="40% - Accent2 3 4 3 2" xfId="13824" xr:uid="{F12D079B-3185-4843-ACE2-7E01ECEB310E}"/>
    <cellStyle name="40% - Accent2 3 4 4" xfId="9606" xr:uid="{28B56017-163B-45D7-97DA-E8B9CD756900}"/>
    <cellStyle name="40% - Accent2 3 5" xfId="1499" xr:uid="{00000000-0005-0000-0000-0000CF040000}"/>
    <cellStyle name="40% - Accent2 3 5 2" xfId="3729" xr:uid="{00000000-0005-0000-0000-0000D0040000}"/>
    <cellStyle name="40% - Accent2 3 5 2 2" xfId="7953" xr:uid="{00000000-0005-0000-0000-0000D1040000}"/>
    <cellStyle name="40% - Accent2 3 5 2 2 2" xfId="16382" xr:uid="{C6A3A842-2159-4675-A610-0DA2D00CE85C}"/>
    <cellStyle name="40% - Accent2 3 5 2 3" xfId="12164" xr:uid="{4093A43C-2058-4EEB-97E6-C9E49D56A1DB}"/>
    <cellStyle name="40% - Accent2 3 5 3" xfId="5808" xr:uid="{00000000-0005-0000-0000-0000D2040000}"/>
    <cellStyle name="40% - Accent2 3 5 3 2" xfId="14237" xr:uid="{B2EB75A7-57BE-4278-891C-029DD36E7121}"/>
    <cellStyle name="40% - Accent2 3 5 4" xfId="10019" xr:uid="{AE6C42F3-1F72-4A67-B930-EF446E62EA98}"/>
    <cellStyle name="40% - Accent2 3 6" xfId="1913" xr:uid="{00000000-0005-0000-0000-0000D3040000}"/>
    <cellStyle name="40% - Accent2 3 6 2" xfId="4142" xr:uid="{00000000-0005-0000-0000-0000D4040000}"/>
    <cellStyle name="40% - Accent2 3 6 2 2" xfId="8366" xr:uid="{00000000-0005-0000-0000-0000D5040000}"/>
    <cellStyle name="40% - Accent2 3 6 2 2 2" xfId="16795" xr:uid="{2B2DE864-9BD4-4ED2-B7FA-017F56425B86}"/>
    <cellStyle name="40% - Accent2 3 6 2 3" xfId="12577" xr:uid="{E5555EF7-2402-4D29-A41B-8352E6D57492}"/>
    <cellStyle name="40% - Accent2 3 6 3" xfId="6221" xr:uid="{00000000-0005-0000-0000-0000D6040000}"/>
    <cellStyle name="40% - Accent2 3 6 3 2" xfId="14650" xr:uid="{0AD9566C-174A-4EE9-A9F6-8E1F6AB84191}"/>
    <cellStyle name="40% - Accent2 3 6 4" xfId="10432" xr:uid="{74ED5FE9-ED36-4B67-816A-185B926354A3}"/>
    <cellStyle name="40% - Accent2 3 7" xfId="2326" xr:uid="{00000000-0005-0000-0000-0000D7040000}"/>
    <cellStyle name="40% - Accent2 3 7 2" xfId="6634" xr:uid="{00000000-0005-0000-0000-0000D8040000}"/>
    <cellStyle name="40% - Accent2 3 7 2 2" xfId="15063" xr:uid="{919E1449-341C-42A6-9251-8E972E4F516D}"/>
    <cellStyle name="40% - Accent2 3 7 3" xfId="10845" xr:uid="{FF90F668-4E68-4861-944D-FA8779D8B258}"/>
    <cellStyle name="40% - Accent2 3 8" xfId="4568" xr:uid="{00000000-0005-0000-0000-0000D9040000}"/>
    <cellStyle name="40% - Accent2 3 8 2" xfId="12997" xr:uid="{C74FDF49-8776-44B9-9649-ACE6343D7263}"/>
    <cellStyle name="40% - Accent2 3 9" xfId="8779" xr:uid="{0AFBD635-F102-44D7-BCF8-CA15907C525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2 2" xfId="15558" xr:uid="{DD6A9A50-4FD3-420C-80DE-18A121F7502C}"/>
    <cellStyle name="40% - Accent2 4 2 2 3" xfId="11340" xr:uid="{AFC98645-4BF6-4C91-B902-72F0C169F725}"/>
    <cellStyle name="40% - Accent2 4 2 3" xfId="4984" xr:uid="{00000000-0005-0000-0000-0000DE040000}"/>
    <cellStyle name="40% - Accent2 4 2 3 2" xfId="13413" xr:uid="{1AD05D52-F619-48B6-B7B8-F970AD15F6E5}"/>
    <cellStyle name="40% - Accent2 4 2 4" xfId="9195" xr:uid="{04F28DA2-33EF-4E7D-980E-7BAA83776169}"/>
    <cellStyle name="40% - Accent2 4 3" xfId="1087" xr:uid="{00000000-0005-0000-0000-0000DF040000}"/>
    <cellStyle name="40% - Accent2 4 3 2" xfId="3318" xr:uid="{00000000-0005-0000-0000-0000E0040000}"/>
    <cellStyle name="40% - Accent2 4 3 2 2" xfId="7542" xr:uid="{00000000-0005-0000-0000-0000E1040000}"/>
    <cellStyle name="40% - Accent2 4 3 2 2 2" xfId="15971" xr:uid="{E1461877-6028-43FC-9632-6DDA94D0B278}"/>
    <cellStyle name="40% - Accent2 4 3 2 3" xfId="11753" xr:uid="{0CFDAA44-DD60-4AAB-8BC6-00BEF210D534}"/>
    <cellStyle name="40% - Accent2 4 3 3" xfId="5397" xr:uid="{00000000-0005-0000-0000-0000E2040000}"/>
    <cellStyle name="40% - Accent2 4 3 3 2" xfId="13826" xr:uid="{29E0A2F9-2126-422A-9249-FEACD8C89599}"/>
    <cellStyle name="40% - Accent2 4 3 4" xfId="9608" xr:uid="{B9ED4356-520F-48BE-88E2-C751715A4D55}"/>
    <cellStyle name="40% - Accent2 4 4" xfId="1501" xr:uid="{00000000-0005-0000-0000-0000E3040000}"/>
    <cellStyle name="40% - Accent2 4 4 2" xfId="3731" xr:uid="{00000000-0005-0000-0000-0000E4040000}"/>
    <cellStyle name="40% - Accent2 4 4 2 2" xfId="7955" xr:uid="{00000000-0005-0000-0000-0000E5040000}"/>
    <cellStyle name="40% - Accent2 4 4 2 2 2" xfId="16384" xr:uid="{D3DE66BE-0563-49E5-84BB-4DD435BCF3F6}"/>
    <cellStyle name="40% - Accent2 4 4 2 3" xfId="12166" xr:uid="{0E8141E8-8F4F-491E-BB3B-6C472035C29F}"/>
    <cellStyle name="40% - Accent2 4 4 3" xfId="5810" xr:uid="{00000000-0005-0000-0000-0000E6040000}"/>
    <cellStyle name="40% - Accent2 4 4 3 2" xfId="14239" xr:uid="{A5EFE0E6-3893-4349-A91C-1D833374FD25}"/>
    <cellStyle name="40% - Accent2 4 4 4" xfId="10021" xr:uid="{D944E6B4-FBEE-4DE8-ACBF-E8998D7BD8C3}"/>
    <cellStyle name="40% - Accent2 4 5" xfId="1915" xr:uid="{00000000-0005-0000-0000-0000E7040000}"/>
    <cellStyle name="40% - Accent2 4 5 2" xfId="4144" xr:uid="{00000000-0005-0000-0000-0000E8040000}"/>
    <cellStyle name="40% - Accent2 4 5 2 2" xfId="8368" xr:uid="{00000000-0005-0000-0000-0000E9040000}"/>
    <cellStyle name="40% - Accent2 4 5 2 2 2" xfId="16797" xr:uid="{7C9280FE-DCC9-4806-8D0C-6E6861EB436B}"/>
    <cellStyle name="40% - Accent2 4 5 2 3" xfId="12579" xr:uid="{35AB38C0-401A-42CC-821C-AE84657BBAE2}"/>
    <cellStyle name="40% - Accent2 4 5 3" xfId="6223" xr:uid="{00000000-0005-0000-0000-0000EA040000}"/>
    <cellStyle name="40% - Accent2 4 5 3 2" xfId="14652" xr:uid="{079371CA-EAC3-4850-A2D2-35A462C5EFC0}"/>
    <cellStyle name="40% - Accent2 4 5 4" xfId="10434" xr:uid="{0A438A52-F8CE-4F65-BABE-00B171B31661}"/>
    <cellStyle name="40% - Accent2 4 6" xfId="2328" xr:uid="{00000000-0005-0000-0000-0000EB040000}"/>
    <cellStyle name="40% - Accent2 4 6 2" xfId="6636" xr:uid="{00000000-0005-0000-0000-0000EC040000}"/>
    <cellStyle name="40% - Accent2 4 6 2 2" xfId="15065" xr:uid="{7B52E117-F950-4B65-9B27-BDEE73CDAD8A}"/>
    <cellStyle name="40% - Accent2 4 6 3" xfId="10847" xr:uid="{61198D9F-7790-4B39-83BF-1EB28929E804}"/>
    <cellStyle name="40% - Accent2 4 7" xfId="4570" xr:uid="{00000000-0005-0000-0000-0000ED040000}"/>
    <cellStyle name="40% - Accent2 4 7 2" xfId="12999" xr:uid="{13E407B7-C4D8-4020-81AF-693170678DDA}"/>
    <cellStyle name="40% - Accent2 4 8" xfId="8781" xr:uid="{CE1A5709-0D2F-45E6-93E2-DE930DAF87B6}"/>
    <cellStyle name="40% - Accent2 5" xfId="627" xr:uid="{00000000-0005-0000-0000-0000EE040000}"/>
    <cellStyle name="40% - Accent2 5 2" xfId="2898" xr:uid="{00000000-0005-0000-0000-0000EF040000}"/>
    <cellStyle name="40% - Accent2 5 2 2" xfId="7122" xr:uid="{00000000-0005-0000-0000-0000F0040000}"/>
    <cellStyle name="40% - Accent2 5 2 2 2" xfId="15551" xr:uid="{2C3D3B1C-8F02-41E4-9316-36C07B0F0DC0}"/>
    <cellStyle name="40% - Accent2 5 2 3" xfId="11333" xr:uid="{2ADB8F0F-53C1-4CD0-8E1C-93916D6AC6A9}"/>
    <cellStyle name="40% - Accent2 5 3" xfId="4977" xr:uid="{00000000-0005-0000-0000-0000F1040000}"/>
    <cellStyle name="40% - Accent2 5 3 2" xfId="13406" xr:uid="{A3A0F7CC-8BEB-465A-8341-1DB011B997AD}"/>
    <cellStyle name="40% - Accent2 5 4" xfId="9188" xr:uid="{10FC5C15-15DC-41A5-8F40-EEE2DE45C4C2}"/>
    <cellStyle name="40% - Accent2 6" xfId="1080" xr:uid="{00000000-0005-0000-0000-0000F2040000}"/>
    <cellStyle name="40% - Accent2 6 2" xfId="3311" xr:uid="{00000000-0005-0000-0000-0000F3040000}"/>
    <cellStyle name="40% - Accent2 6 2 2" xfId="7535" xr:uid="{00000000-0005-0000-0000-0000F4040000}"/>
    <cellStyle name="40% - Accent2 6 2 2 2" xfId="15964" xr:uid="{612F88E1-03FC-4D80-833C-CD92A29004C0}"/>
    <cellStyle name="40% - Accent2 6 2 3" xfId="11746" xr:uid="{93BC3491-56C1-4083-8F27-9B035110DAE8}"/>
    <cellStyle name="40% - Accent2 6 3" xfId="5390" xr:uid="{00000000-0005-0000-0000-0000F5040000}"/>
    <cellStyle name="40% - Accent2 6 3 2" xfId="13819" xr:uid="{013C7D18-69F9-4C35-8D2F-1F6C07841B4B}"/>
    <cellStyle name="40% - Accent2 6 4" xfId="9601" xr:uid="{4FFB4644-6B47-47CD-BD95-706A21E70D92}"/>
    <cellStyle name="40% - Accent2 7" xfId="1494" xr:uid="{00000000-0005-0000-0000-0000F6040000}"/>
    <cellStyle name="40% - Accent2 7 2" xfId="3724" xr:uid="{00000000-0005-0000-0000-0000F7040000}"/>
    <cellStyle name="40% - Accent2 7 2 2" xfId="7948" xr:uid="{00000000-0005-0000-0000-0000F8040000}"/>
    <cellStyle name="40% - Accent2 7 2 2 2" xfId="16377" xr:uid="{3E34312A-FD8B-42C6-BB7A-1FD421E85105}"/>
    <cellStyle name="40% - Accent2 7 2 3" xfId="12159" xr:uid="{138CB712-65F7-4AAE-8FB9-84E64CE99ACE}"/>
    <cellStyle name="40% - Accent2 7 3" xfId="5803" xr:uid="{00000000-0005-0000-0000-0000F9040000}"/>
    <cellStyle name="40% - Accent2 7 3 2" xfId="14232" xr:uid="{6D2DF55C-B710-445E-A1F1-3C09FE20ADFF}"/>
    <cellStyle name="40% - Accent2 7 4" xfId="10014" xr:uid="{98FE5B09-BE7F-4637-9778-A95BD442EB48}"/>
    <cellStyle name="40% - Accent2 8" xfId="1908" xr:uid="{00000000-0005-0000-0000-0000FA040000}"/>
    <cellStyle name="40% - Accent2 8 2" xfId="4137" xr:uid="{00000000-0005-0000-0000-0000FB040000}"/>
    <cellStyle name="40% - Accent2 8 2 2" xfId="8361" xr:uid="{00000000-0005-0000-0000-0000FC040000}"/>
    <cellStyle name="40% - Accent2 8 2 2 2" xfId="16790" xr:uid="{4ABA6DCC-EC78-4E93-B973-0BFE0212CD72}"/>
    <cellStyle name="40% - Accent2 8 2 3" xfId="12572" xr:uid="{3E3FE51A-C263-4037-9BAB-1992732C5F9E}"/>
    <cellStyle name="40% - Accent2 8 3" xfId="6216" xr:uid="{00000000-0005-0000-0000-0000FD040000}"/>
    <cellStyle name="40% - Accent2 8 3 2" xfId="14645" xr:uid="{32B286FE-A683-4612-A235-05D80292D3A4}"/>
    <cellStyle name="40% - Accent2 8 4" xfId="10427" xr:uid="{C5FB2010-529E-4D24-AC54-25104E10DAE4}"/>
    <cellStyle name="40% - Accent2 9" xfId="2321" xr:uid="{00000000-0005-0000-0000-0000FE040000}"/>
    <cellStyle name="40% - Accent2 9 2" xfId="6629" xr:uid="{00000000-0005-0000-0000-0000FF040000}"/>
    <cellStyle name="40% - Accent2 9 2 2" xfId="15058" xr:uid="{141A838A-345A-4FE8-A6B8-E3CCF1F8C217}"/>
    <cellStyle name="40% - Accent2 9 3" xfId="10840" xr:uid="{0EF996B7-52D7-440D-AAB9-EFFCFE197BBE}"/>
    <cellStyle name="40% - Accent3" xfId="65" builtinId="39" customBuiltin="1"/>
    <cellStyle name="40% - Accent3 10" xfId="4571" xr:uid="{00000000-0005-0000-0000-000001050000}"/>
    <cellStyle name="40% - Accent3 10 2" xfId="13000" xr:uid="{6FF78880-EAC0-43A3-8173-53452EFE3CAF}"/>
    <cellStyle name="40% - Accent3 11" xfId="8782" xr:uid="{D594B934-52A8-41B3-B96E-4BAAF3112ACB}"/>
    <cellStyle name="40% - Accent3 2" xfId="66" xr:uid="{00000000-0005-0000-0000-000002050000}"/>
    <cellStyle name="40% - Accent3 2 10" xfId="8783" xr:uid="{D33BCA95-94F0-42A7-A278-CFC3BB6811A8}"/>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2 2" xfId="15562" xr:uid="{C5917D8C-26D5-4CCF-A382-DB7AD822A13B}"/>
    <cellStyle name="40% - Accent3 2 2 2 2 2 3" xfId="11344" xr:uid="{A4ED3568-74EA-4D98-8194-37D5221C3D9A}"/>
    <cellStyle name="40% - Accent3 2 2 2 2 3" xfId="4988" xr:uid="{00000000-0005-0000-0000-000008050000}"/>
    <cellStyle name="40% - Accent3 2 2 2 2 3 2" xfId="13417" xr:uid="{76E4A670-BEEC-43FF-8006-EFF17CDE3920}"/>
    <cellStyle name="40% - Accent3 2 2 2 2 4" xfId="9199" xr:uid="{4079B350-DA5A-4EC3-815D-449FDBB51E1A}"/>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2 2" xfId="15975" xr:uid="{F9415047-3A72-4569-9D3B-1D7856166038}"/>
    <cellStyle name="40% - Accent3 2 2 2 3 2 3" xfId="11757" xr:uid="{2B860D2D-CC50-4CFA-9B78-DDB761CBC524}"/>
    <cellStyle name="40% - Accent3 2 2 2 3 3" xfId="5401" xr:uid="{00000000-0005-0000-0000-00000C050000}"/>
    <cellStyle name="40% - Accent3 2 2 2 3 3 2" xfId="13830" xr:uid="{4372D3F5-7E10-4E46-B1F5-DAE625203CA9}"/>
    <cellStyle name="40% - Accent3 2 2 2 3 4" xfId="9612" xr:uid="{19096C17-5ADE-44A1-8498-28FB44E1043F}"/>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2 2" xfId="16388" xr:uid="{847F4E04-F9D8-4B5D-8CB5-5BCD31C79BDA}"/>
    <cellStyle name="40% - Accent3 2 2 2 4 2 3" xfId="12170" xr:uid="{DE94F4B1-5AF2-4536-8F24-E34820FAF9A5}"/>
    <cellStyle name="40% - Accent3 2 2 2 4 3" xfId="5814" xr:uid="{00000000-0005-0000-0000-000010050000}"/>
    <cellStyle name="40% - Accent3 2 2 2 4 3 2" xfId="14243" xr:uid="{20F5C76C-8EEA-48E6-8F43-AD75D706B06C}"/>
    <cellStyle name="40% - Accent3 2 2 2 4 4" xfId="10025" xr:uid="{28C14CB7-27D5-4B81-A84C-1021FC76D3AF}"/>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2 2" xfId="16801" xr:uid="{A03DB6A7-F906-4768-BF78-F6AEF2CD73A3}"/>
    <cellStyle name="40% - Accent3 2 2 2 5 2 3" xfId="12583" xr:uid="{AE5FA5F9-5F4B-4741-BA10-449BA91A16DE}"/>
    <cellStyle name="40% - Accent3 2 2 2 5 3" xfId="6227" xr:uid="{00000000-0005-0000-0000-000014050000}"/>
    <cellStyle name="40% - Accent3 2 2 2 5 3 2" xfId="14656" xr:uid="{4EBC18E6-F7E1-4228-B596-EAB888DAC1A5}"/>
    <cellStyle name="40% - Accent3 2 2 2 5 4" xfId="10438" xr:uid="{13983D86-EFCE-448B-8EFA-BBED54397310}"/>
    <cellStyle name="40% - Accent3 2 2 2 6" xfId="2332" xr:uid="{00000000-0005-0000-0000-000015050000}"/>
    <cellStyle name="40% - Accent3 2 2 2 6 2" xfId="6640" xr:uid="{00000000-0005-0000-0000-000016050000}"/>
    <cellStyle name="40% - Accent3 2 2 2 6 2 2" xfId="15069" xr:uid="{82BF3916-D246-42C1-9078-8C57FBCD063E}"/>
    <cellStyle name="40% - Accent3 2 2 2 6 3" xfId="10851" xr:uid="{2596C659-9089-437E-A571-9363DA352B88}"/>
    <cellStyle name="40% - Accent3 2 2 2 7" xfId="4574" xr:uid="{00000000-0005-0000-0000-000017050000}"/>
    <cellStyle name="40% - Accent3 2 2 2 7 2" xfId="13003" xr:uid="{4CF32EF5-568D-4BE3-BF29-1CD7927DF4F2}"/>
    <cellStyle name="40% - Accent3 2 2 2 8" xfId="8785" xr:uid="{8AA66D75-EE65-4E9A-BFAA-90959ACE6F63}"/>
    <cellStyle name="40% - Accent3 2 2 3" xfId="637" xr:uid="{00000000-0005-0000-0000-000018050000}"/>
    <cellStyle name="40% - Accent3 2 2 3 2" xfId="2908" xr:uid="{00000000-0005-0000-0000-000019050000}"/>
    <cellStyle name="40% - Accent3 2 2 3 2 2" xfId="7132" xr:uid="{00000000-0005-0000-0000-00001A050000}"/>
    <cellStyle name="40% - Accent3 2 2 3 2 2 2" xfId="15561" xr:uid="{AE314945-6A5D-4048-8E16-BC093A9B9404}"/>
    <cellStyle name="40% - Accent3 2 2 3 2 3" xfId="11343" xr:uid="{E079D2BD-8CB1-4829-B57A-D1BB1D09A969}"/>
    <cellStyle name="40% - Accent3 2 2 3 3" xfId="4987" xr:uid="{00000000-0005-0000-0000-00001B050000}"/>
    <cellStyle name="40% - Accent3 2 2 3 3 2" xfId="13416" xr:uid="{02CA7B72-1D46-404F-A8D0-A6E3672C7581}"/>
    <cellStyle name="40% - Accent3 2 2 3 4" xfId="9198" xr:uid="{6F39754A-0EE8-4F46-A06A-C523D0F33A3D}"/>
    <cellStyle name="40% - Accent3 2 2 4" xfId="1090" xr:uid="{00000000-0005-0000-0000-00001C050000}"/>
    <cellStyle name="40% - Accent3 2 2 4 2" xfId="3321" xr:uid="{00000000-0005-0000-0000-00001D050000}"/>
    <cellStyle name="40% - Accent3 2 2 4 2 2" xfId="7545" xr:uid="{00000000-0005-0000-0000-00001E050000}"/>
    <cellStyle name="40% - Accent3 2 2 4 2 2 2" xfId="15974" xr:uid="{BE9CEC26-BAE4-45C0-AF83-2DE585CA62A7}"/>
    <cellStyle name="40% - Accent3 2 2 4 2 3" xfId="11756" xr:uid="{3E791B5A-99BB-4F0E-8B4E-EEF12E0A5217}"/>
    <cellStyle name="40% - Accent3 2 2 4 3" xfId="5400" xr:uid="{00000000-0005-0000-0000-00001F050000}"/>
    <cellStyle name="40% - Accent3 2 2 4 3 2" xfId="13829" xr:uid="{D2D6E934-3E54-48AB-BCC1-0D8B9CE24F94}"/>
    <cellStyle name="40% - Accent3 2 2 4 4" xfId="9611" xr:uid="{CE9980E2-6F4D-48C8-8E93-AE4538823FE5}"/>
    <cellStyle name="40% - Accent3 2 2 5" xfId="1504" xr:uid="{00000000-0005-0000-0000-000020050000}"/>
    <cellStyle name="40% - Accent3 2 2 5 2" xfId="3734" xr:uid="{00000000-0005-0000-0000-000021050000}"/>
    <cellStyle name="40% - Accent3 2 2 5 2 2" xfId="7958" xr:uid="{00000000-0005-0000-0000-000022050000}"/>
    <cellStyle name="40% - Accent3 2 2 5 2 2 2" xfId="16387" xr:uid="{F90C6B32-E494-4D07-9767-206071A76DB1}"/>
    <cellStyle name="40% - Accent3 2 2 5 2 3" xfId="12169" xr:uid="{B5065F5F-5FD0-47C8-9C70-753EEDE6F3ED}"/>
    <cellStyle name="40% - Accent3 2 2 5 3" xfId="5813" xr:uid="{00000000-0005-0000-0000-000023050000}"/>
    <cellStyle name="40% - Accent3 2 2 5 3 2" xfId="14242" xr:uid="{41977EE4-7488-4CC9-92FA-6280398F1693}"/>
    <cellStyle name="40% - Accent3 2 2 5 4" xfId="10024" xr:uid="{83F616AF-11AC-46D4-92B1-962109B1ED90}"/>
    <cellStyle name="40% - Accent3 2 2 6" xfId="1918" xr:uid="{00000000-0005-0000-0000-000024050000}"/>
    <cellStyle name="40% - Accent3 2 2 6 2" xfId="4147" xr:uid="{00000000-0005-0000-0000-000025050000}"/>
    <cellStyle name="40% - Accent3 2 2 6 2 2" xfId="8371" xr:uid="{00000000-0005-0000-0000-000026050000}"/>
    <cellStyle name="40% - Accent3 2 2 6 2 2 2" xfId="16800" xr:uid="{C78F7DB8-42D7-42EF-B803-97C34EA0ADDF}"/>
    <cellStyle name="40% - Accent3 2 2 6 2 3" xfId="12582" xr:uid="{DA264BC7-AA31-4EE7-834C-6F27AC8C1F47}"/>
    <cellStyle name="40% - Accent3 2 2 6 3" xfId="6226" xr:uid="{00000000-0005-0000-0000-000027050000}"/>
    <cellStyle name="40% - Accent3 2 2 6 3 2" xfId="14655" xr:uid="{1CE1D166-75FC-400E-9238-65C235E1672F}"/>
    <cellStyle name="40% - Accent3 2 2 6 4" xfId="10437" xr:uid="{7EA50AF2-A8B9-40E4-958A-FEC220DBE17B}"/>
    <cellStyle name="40% - Accent3 2 2 7" xfId="2331" xr:uid="{00000000-0005-0000-0000-000028050000}"/>
    <cellStyle name="40% - Accent3 2 2 7 2" xfId="6639" xr:uid="{00000000-0005-0000-0000-000029050000}"/>
    <cellStyle name="40% - Accent3 2 2 7 2 2" xfId="15068" xr:uid="{3EC5D463-B3AE-4A01-A495-46869A2063A6}"/>
    <cellStyle name="40% - Accent3 2 2 7 3" xfId="10850" xr:uid="{82A7EEBC-B6A2-4C35-96BE-BCBF698635BD}"/>
    <cellStyle name="40% - Accent3 2 2 8" xfId="4573" xr:uid="{00000000-0005-0000-0000-00002A050000}"/>
    <cellStyle name="40% - Accent3 2 2 8 2" xfId="13002" xr:uid="{DA02C43E-F961-49AB-9B0F-196E6ED01D53}"/>
    <cellStyle name="40% - Accent3 2 2 9" xfId="8784" xr:uid="{D5D88FE2-3E90-4DAD-B7FC-7AA701803F44}"/>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2 2" xfId="15563" xr:uid="{BBEDABE9-9799-4341-A985-37B88E8F5162}"/>
    <cellStyle name="40% - Accent3 2 3 2 2 3" xfId="11345" xr:uid="{380CB501-7B4E-4777-A62F-AC52BCE7BFF8}"/>
    <cellStyle name="40% - Accent3 2 3 2 3" xfId="4989" xr:uid="{00000000-0005-0000-0000-00002F050000}"/>
    <cellStyle name="40% - Accent3 2 3 2 3 2" xfId="13418" xr:uid="{A64AD329-76EF-41A6-B423-A6DDB2682EA2}"/>
    <cellStyle name="40% - Accent3 2 3 2 4" xfId="9200" xr:uid="{67B7240A-26E5-4A30-BCDD-E083E2BA57E4}"/>
    <cellStyle name="40% - Accent3 2 3 3" xfId="1092" xr:uid="{00000000-0005-0000-0000-000030050000}"/>
    <cellStyle name="40% - Accent3 2 3 3 2" xfId="3323" xr:uid="{00000000-0005-0000-0000-000031050000}"/>
    <cellStyle name="40% - Accent3 2 3 3 2 2" xfId="7547" xr:uid="{00000000-0005-0000-0000-000032050000}"/>
    <cellStyle name="40% - Accent3 2 3 3 2 2 2" xfId="15976" xr:uid="{8CFC0812-574F-4627-BAC6-A92D051FC909}"/>
    <cellStyle name="40% - Accent3 2 3 3 2 3" xfId="11758" xr:uid="{335265E7-EF8C-460C-A5DB-8193991FCDBA}"/>
    <cellStyle name="40% - Accent3 2 3 3 3" xfId="5402" xr:uid="{00000000-0005-0000-0000-000033050000}"/>
    <cellStyle name="40% - Accent3 2 3 3 3 2" xfId="13831" xr:uid="{570EE3D0-55BB-428D-96E3-03DB30504468}"/>
    <cellStyle name="40% - Accent3 2 3 3 4" xfId="9613" xr:uid="{594345CA-570C-4F13-8861-D09C0F8CD45A}"/>
    <cellStyle name="40% - Accent3 2 3 4" xfId="1506" xr:uid="{00000000-0005-0000-0000-000034050000}"/>
    <cellStyle name="40% - Accent3 2 3 4 2" xfId="3736" xr:uid="{00000000-0005-0000-0000-000035050000}"/>
    <cellStyle name="40% - Accent3 2 3 4 2 2" xfId="7960" xr:uid="{00000000-0005-0000-0000-000036050000}"/>
    <cellStyle name="40% - Accent3 2 3 4 2 2 2" xfId="16389" xr:uid="{3CF61CAA-1DD5-45D8-B192-7DE027346B79}"/>
    <cellStyle name="40% - Accent3 2 3 4 2 3" xfId="12171" xr:uid="{8292EC9C-F604-4A9C-A9D5-9671A047B72A}"/>
    <cellStyle name="40% - Accent3 2 3 4 3" xfId="5815" xr:uid="{00000000-0005-0000-0000-000037050000}"/>
    <cellStyle name="40% - Accent3 2 3 4 3 2" xfId="14244" xr:uid="{5947FCA6-F0E1-49BB-A3C9-C0205171772E}"/>
    <cellStyle name="40% - Accent3 2 3 4 4" xfId="10026" xr:uid="{C3BF379F-973C-4A98-8AFE-C04CB1385A7F}"/>
    <cellStyle name="40% - Accent3 2 3 5" xfId="1920" xr:uid="{00000000-0005-0000-0000-000038050000}"/>
    <cellStyle name="40% - Accent3 2 3 5 2" xfId="4149" xr:uid="{00000000-0005-0000-0000-000039050000}"/>
    <cellStyle name="40% - Accent3 2 3 5 2 2" xfId="8373" xr:uid="{00000000-0005-0000-0000-00003A050000}"/>
    <cellStyle name="40% - Accent3 2 3 5 2 2 2" xfId="16802" xr:uid="{BEE5EE14-D43B-404D-BC70-A8708D6C733A}"/>
    <cellStyle name="40% - Accent3 2 3 5 2 3" xfId="12584" xr:uid="{46F68112-195B-48C3-9BE4-DA1E81C8B7C6}"/>
    <cellStyle name="40% - Accent3 2 3 5 3" xfId="6228" xr:uid="{00000000-0005-0000-0000-00003B050000}"/>
    <cellStyle name="40% - Accent3 2 3 5 3 2" xfId="14657" xr:uid="{8D54D41A-CF5A-4881-8AF1-73CC438D39C4}"/>
    <cellStyle name="40% - Accent3 2 3 5 4" xfId="10439" xr:uid="{20F21293-8E2D-4430-9042-6793143A80F1}"/>
    <cellStyle name="40% - Accent3 2 3 6" xfId="2333" xr:uid="{00000000-0005-0000-0000-00003C050000}"/>
    <cellStyle name="40% - Accent3 2 3 6 2" xfId="6641" xr:uid="{00000000-0005-0000-0000-00003D050000}"/>
    <cellStyle name="40% - Accent3 2 3 6 2 2" xfId="15070" xr:uid="{49D94DA1-5C21-4903-B688-E79F5B4B1AF4}"/>
    <cellStyle name="40% - Accent3 2 3 6 3" xfId="10852" xr:uid="{5035232B-E72F-4355-8BE5-936343FEF566}"/>
    <cellStyle name="40% - Accent3 2 3 7" xfId="4575" xr:uid="{00000000-0005-0000-0000-00003E050000}"/>
    <cellStyle name="40% - Accent3 2 3 7 2" xfId="13004" xr:uid="{8D3D5BC3-993A-4DCE-A177-4B7C1987E0B4}"/>
    <cellStyle name="40% - Accent3 2 3 8" xfId="8786" xr:uid="{4F10D2DF-2BF0-4827-8E96-70941AD7F9E0}"/>
    <cellStyle name="40% - Accent3 2 4" xfId="636" xr:uid="{00000000-0005-0000-0000-00003F050000}"/>
    <cellStyle name="40% - Accent3 2 4 2" xfId="2907" xr:uid="{00000000-0005-0000-0000-000040050000}"/>
    <cellStyle name="40% - Accent3 2 4 2 2" xfId="7131" xr:uid="{00000000-0005-0000-0000-000041050000}"/>
    <cellStyle name="40% - Accent3 2 4 2 2 2" xfId="15560" xr:uid="{ECDD1F53-BD44-4A66-808E-79A4174ECE07}"/>
    <cellStyle name="40% - Accent3 2 4 2 3" xfId="11342" xr:uid="{244CC9E4-98A2-45D4-82C3-79F814D6815D}"/>
    <cellStyle name="40% - Accent3 2 4 3" xfId="4986" xr:uid="{00000000-0005-0000-0000-000042050000}"/>
    <cellStyle name="40% - Accent3 2 4 3 2" xfId="13415" xr:uid="{C4D0E477-CB78-4242-9007-26AA3975F6A1}"/>
    <cellStyle name="40% - Accent3 2 4 4" xfId="9197" xr:uid="{FF077455-8582-451E-AE11-532F59D6FCB7}"/>
    <cellStyle name="40% - Accent3 2 5" xfId="1089" xr:uid="{00000000-0005-0000-0000-000043050000}"/>
    <cellStyle name="40% - Accent3 2 5 2" xfId="3320" xr:uid="{00000000-0005-0000-0000-000044050000}"/>
    <cellStyle name="40% - Accent3 2 5 2 2" xfId="7544" xr:uid="{00000000-0005-0000-0000-000045050000}"/>
    <cellStyle name="40% - Accent3 2 5 2 2 2" xfId="15973" xr:uid="{9B59AB15-6309-41CC-8269-2A2F6C1E5134}"/>
    <cellStyle name="40% - Accent3 2 5 2 3" xfId="11755" xr:uid="{B37FA595-56EF-4E18-8AF9-79E67BB65D7D}"/>
    <cellStyle name="40% - Accent3 2 5 3" xfId="5399" xr:uid="{00000000-0005-0000-0000-000046050000}"/>
    <cellStyle name="40% - Accent3 2 5 3 2" xfId="13828" xr:uid="{371C9574-1AFF-4AF9-B075-ABF2CC866ACA}"/>
    <cellStyle name="40% - Accent3 2 5 4" xfId="9610" xr:uid="{B3F777B7-759B-4A44-8477-E997194D54C7}"/>
    <cellStyle name="40% - Accent3 2 6" xfId="1503" xr:uid="{00000000-0005-0000-0000-000047050000}"/>
    <cellStyle name="40% - Accent3 2 6 2" xfId="3733" xr:uid="{00000000-0005-0000-0000-000048050000}"/>
    <cellStyle name="40% - Accent3 2 6 2 2" xfId="7957" xr:uid="{00000000-0005-0000-0000-000049050000}"/>
    <cellStyle name="40% - Accent3 2 6 2 2 2" xfId="16386" xr:uid="{7B842656-D574-471A-BAEC-FF01B0B6ADD5}"/>
    <cellStyle name="40% - Accent3 2 6 2 3" xfId="12168" xr:uid="{D2143449-B524-4E2F-858E-1F0C0686E874}"/>
    <cellStyle name="40% - Accent3 2 6 3" xfId="5812" xr:uid="{00000000-0005-0000-0000-00004A050000}"/>
    <cellStyle name="40% - Accent3 2 6 3 2" xfId="14241" xr:uid="{C81329BE-8E39-4CFA-A064-8854EABED237}"/>
    <cellStyle name="40% - Accent3 2 6 4" xfId="10023" xr:uid="{BEFD3EFD-9160-452E-B7CE-351D4D87C852}"/>
    <cellStyle name="40% - Accent3 2 7" xfId="1917" xr:uid="{00000000-0005-0000-0000-00004B050000}"/>
    <cellStyle name="40% - Accent3 2 7 2" xfId="4146" xr:uid="{00000000-0005-0000-0000-00004C050000}"/>
    <cellStyle name="40% - Accent3 2 7 2 2" xfId="8370" xr:uid="{00000000-0005-0000-0000-00004D050000}"/>
    <cellStyle name="40% - Accent3 2 7 2 2 2" xfId="16799" xr:uid="{A8DA2F1E-0AE5-489A-BE6D-5C7CE382F0E4}"/>
    <cellStyle name="40% - Accent3 2 7 2 3" xfId="12581" xr:uid="{3F35BC85-4257-4842-AFBF-17113CA6A533}"/>
    <cellStyle name="40% - Accent3 2 7 3" xfId="6225" xr:uid="{00000000-0005-0000-0000-00004E050000}"/>
    <cellStyle name="40% - Accent3 2 7 3 2" xfId="14654" xr:uid="{61B42DBA-C3DD-4134-9C6F-3B7A27B2D82D}"/>
    <cellStyle name="40% - Accent3 2 7 4" xfId="10436" xr:uid="{EB9A1AFC-B10F-41C6-8219-DB85E66385C1}"/>
    <cellStyle name="40% - Accent3 2 8" xfId="2330" xr:uid="{00000000-0005-0000-0000-00004F050000}"/>
    <cellStyle name="40% - Accent3 2 8 2" xfId="6638" xr:uid="{00000000-0005-0000-0000-000050050000}"/>
    <cellStyle name="40% - Accent3 2 8 2 2" xfId="15067" xr:uid="{CEA82633-541D-4F00-BA90-3F0446F6368F}"/>
    <cellStyle name="40% - Accent3 2 8 3" xfId="10849" xr:uid="{0F8DC477-DF82-4E36-B792-EA9DA833C938}"/>
    <cellStyle name="40% - Accent3 2 9" xfId="4572" xr:uid="{00000000-0005-0000-0000-000051050000}"/>
    <cellStyle name="40% - Accent3 2 9 2" xfId="13001" xr:uid="{173DB34C-7F8F-4DCD-AAEC-91538D064F4B}"/>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2 2" xfId="15565" xr:uid="{FAB9CA17-88BE-4459-A245-7158A06B2240}"/>
    <cellStyle name="40% - Accent3 3 2 2 2 3" xfId="11347" xr:uid="{4E2AAFD7-F607-433F-9053-28EE8DA5046F}"/>
    <cellStyle name="40% - Accent3 3 2 2 3" xfId="4991" xr:uid="{00000000-0005-0000-0000-000057050000}"/>
    <cellStyle name="40% - Accent3 3 2 2 3 2" xfId="13420" xr:uid="{EE2ED0BD-3058-404F-95BE-24A97F7B64C6}"/>
    <cellStyle name="40% - Accent3 3 2 2 4" xfId="9202" xr:uid="{BA4CBB40-FFF4-425D-B455-0F8342233477}"/>
    <cellStyle name="40% - Accent3 3 2 3" xfId="1094" xr:uid="{00000000-0005-0000-0000-000058050000}"/>
    <cellStyle name="40% - Accent3 3 2 3 2" xfId="3325" xr:uid="{00000000-0005-0000-0000-000059050000}"/>
    <cellStyle name="40% - Accent3 3 2 3 2 2" xfId="7549" xr:uid="{00000000-0005-0000-0000-00005A050000}"/>
    <cellStyle name="40% - Accent3 3 2 3 2 2 2" xfId="15978" xr:uid="{EE117415-1D5B-4343-9E92-342CA75BA80A}"/>
    <cellStyle name="40% - Accent3 3 2 3 2 3" xfId="11760" xr:uid="{4728B671-18C7-4A7A-97AC-BA1D1B8310E2}"/>
    <cellStyle name="40% - Accent3 3 2 3 3" xfId="5404" xr:uid="{00000000-0005-0000-0000-00005B050000}"/>
    <cellStyle name="40% - Accent3 3 2 3 3 2" xfId="13833" xr:uid="{1C377B46-DA2A-4385-BB00-D9BED44EACA1}"/>
    <cellStyle name="40% - Accent3 3 2 3 4" xfId="9615" xr:uid="{A4C388EE-50EB-4571-9E31-23B2B8196F3A}"/>
    <cellStyle name="40% - Accent3 3 2 4" xfId="1508" xr:uid="{00000000-0005-0000-0000-00005C050000}"/>
    <cellStyle name="40% - Accent3 3 2 4 2" xfId="3738" xr:uid="{00000000-0005-0000-0000-00005D050000}"/>
    <cellStyle name="40% - Accent3 3 2 4 2 2" xfId="7962" xr:uid="{00000000-0005-0000-0000-00005E050000}"/>
    <cellStyle name="40% - Accent3 3 2 4 2 2 2" xfId="16391" xr:uid="{6DD4AEEA-2FFA-4E02-BCF7-F7B1FDBF299B}"/>
    <cellStyle name="40% - Accent3 3 2 4 2 3" xfId="12173" xr:uid="{557D0B6D-AC8F-4C62-B2BF-499C9744A0C3}"/>
    <cellStyle name="40% - Accent3 3 2 4 3" xfId="5817" xr:uid="{00000000-0005-0000-0000-00005F050000}"/>
    <cellStyle name="40% - Accent3 3 2 4 3 2" xfId="14246" xr:uid="{90119911-6B4B-47B6-9CDB-29DB949F4071}"/>
    <cellStyle name="40% - Accent3 3 2 4 4" xfId="10028" xr:uid="{F2AEA725-5F88-4F13-BE28-F5D6CAD32204}"/>
    <cellStyle name="40% - Accent3 3 2 5" xfId="1922" xr:uid="{00000000-0005-0000-0000-000060050000}"/>
    <cellStyle name="40% - Accent3 3 2 5 2" xfId="4151" xr:uid="{00000000-0005-0000-0000-000061050000}"/>
    <cellStyle name="40% - Accent3 3 2 5 2 2" xfId="8375" xr:uid="{00000000-0005-0000-0000-000062050000}"/>
    <cellStyle name="40% - Accent3 3 2 5 2 2 2" xfId="16804" xr:uid="{ED7EE841-E155-44FB-B235-D76E7F3E8DEC}"/>
    <cellStyle name="40% - Accent3 3 2 5 2 3" xfId="12586" xr:uid="{733A7154-391F-45B7-9126-000685C263AB}"/>
    <cellStyle name="40% - Accent3 3 2 5 3" xfId="6230" xr:uid="{00000000-0005-0000-0000-000063050000}"/>
    <cellStyle name="40% - Accent3 3 2 5 3 2" xfId="14659" xr:uid="{83A27273-2AD7-496E-B7CF-4F124DDC0391}"/>
    <cellStyle name="40% - Accent3 3 2 5 4" xfId="10441" xr:uid="{4E4EC638-E9A3-4C7A-AEE3-7A51A2744D84}"/>
    <cellStyle name="40% - Accent3 3 2 6" xfId="2335" xr:uid="{00000000-0005-0000-0000-000064050000}"/>
    <cellStyle name="40% - Accent3 3 2 6 2" xfId="6643" xr:uid="{00000000-0005-0000-0000-000065050000}"/>
    <cellStyle name="40% - Accent3 3 2 6 2 2" xfId="15072" xr:uid="{7B40E83E-07D4-4B2F-BEBB-72FCF72C0320}"/>
    <cellStyle name="40% - Accent3 3 2 6 3" xfId="10854" xr:uid="{303B1D75-4B47-45CA-A89F-2834D7944D59}"/>
    <cellStyle name="40% - Accent3 3 2 7" xfId="4577" xr:uid="{00000000-0005-0000-0000-000066050000}"/>
    <cellStyle name="40% - Accent3 3 2 7 2" xfId="13006" xr:uid="{622DBAFD-F94C-4CB1-98AC-F54E25B56167}"/>
    <cellStyle name="40% - Accent3 3 2 8" xfId="8788" xr:uid="{20DC60AD-E07F-425A-BD7C-E3FE3A652D7C}"/>
    <cellStyle name="40% - Accent3 3 3" xfId="640" xr:uid="{00000000-0005-0000-0000-000067050000}"/>
    <cellStyle name="40% - Accent3 3 3 2" xfId="2911" xr:uid="{00000000-0005-0000-0000-000068050000}"/>
    <cellStyle name="40% - Accent3 3 3 2 2" xfId="7135" xr:uid="{00000000-0005-0000-0000-000069050000}"/>
    <cellStyle name="40% - Accent3 3 3 2 2 2" xfId="15564" xr:uid="{A166EB79-1DE4-4BED-A8EA-960E9A7DE412}"/>
    <cellStyle name="40% - Accent3 3 3 2 3" xfId="11346" xr:uid="{BE233D10-115E-417D-9EB3-6F6BA66478B9}"/>
    <cellStyle name="40% - Accent3 3 3 3" xfId="4990" xr:uid="{00000000-0005-0000-0000-00006A050000}"/>
    <cellStyle name="40% - Accent3 3 3 3 2" xfId="13419" xr:uid="{BC4D39C6-2FC7-4CDF-9F81-A711E94EC73B}"/>
    <cellStyle name="40% - Accent3 3 3 4" xfId="9201" xr:uid="{CBB8C72B-AF37-4FFA-9FD5-7A95123FCB01}"/>
    <cellStyle name="40% - Accent3 3 4" xfId="1093" xr:uid="{00000000-0005-0000-0000-00006B050000}"/>
    <cellStyle name="40% - Accent3 3 4 2" xfId="3324" xr:uid="{00000000-0005-0000-0000-00006C050000}"/>
    <cellStyle name="40% - Accent3 3 4 2 2" xfId="7548" xr:uid="{00000000-0005-0000-0000-00006D050000}"/>
    <cellStyle name="40% - Accent3 3 4 2 2 2" xfId="15977" xr:uid="{E329FF04-C5ED-44B3-910A-A2AA7423F0A2}"/>
    <cellStyle name="40% - Accent3 3 4 2 3" xfId="11759" xr:uid="{181E376C-6D39-40EA-B675-EF454901FFE0}"/>
    <cellStyle name="40% - Accent3 3 4 3" xfId="5403" xr:uid="{00000000-0005-0000-0000-00006E050000}"/>
    <cellStyle name="40% - Accent3 3 4 3 2" xfId="13832" xr:uid="{F59F3E5F-FDB9-4F12-98B9-8F5C2975535C}"/>
    <cellStyle name="40% - Accent3 3 4 4" xfId="9614" xr:uid="{6A24866F-B002-4B0F-9E37-2A9FB935D602}"/>
    <cellStyle name="40% - Accent3 3 5" xfId="1507" xr:uid="{00000000-0005-0000-0000-00006F050000}"/>
    <cellStyle name="40% - Accent3 3 5 2" xfId="3737" xr:uid="{00000000-0005-0000-0000-000070050000}"/>
    <cellStyle name="40% - Accent3 3 5 2 2" xfId="7961" xr:uid="{00000000-0005-0000-0000-000071050000}"/>
    <cellStyle name="40% - Accent3 3 5 2 2 2" xfId="16390" xr:uid="{CC915820-E6E3-4FDA-9F47-D9CF593C1403}"/>
    <cellStyle name="40% - Accent3 3 5 2 3" xfId="12172" xr:uid="{A9A9419F-DC55-4A0C-911F-032C112CF092}"/>
    <cellStyle name="40% - Accent3 3 5 3" xfId="5816" xr:uid="{00000000-0005-0000-0000-000072050000}"/>
    <cellStyle name="40% - Accent3 3 5 3 2" xfId="14245" xr:uid="{BC6013DA-C5AC-4D3B-9AC9-65A6857CDE3F}"/>
    <cellStyle name="40% - Accent3 3 5 4" xfId="10027" xr:uid="{22A2DF03-E109-47AB-B36B-C1A3DBC67C7D}"/>
    <cellStyle name="40% - Accent3 3 6" xfId="1921" xr:uid="{00000000-0005-0000-0000-000073050000}"/>
    <cellStyle name="40% - Accent3 3 6 2" xfId="4150" xr:uid="{00000000-0005-0000-0000-000074050000}"/>
    <cellStyle name="40% - Accent3 3 6 2 2" xfId="8374" xr:uid="{00000000-0005-0000-0000-000075050000}"/>
    <cellStyle name="40% - Accent3 3 6 2 2 2" xfId="16803" xr:uid="{FD960D91-69E7-4DB6-B0DE-4F66DB7F26A3}"/>
    <cellStyle name="40% - Accent3 3 6 2 3" xfId="12585" xr:uid="{84B55518-051B-4435-B4B1-97FFBCC5B20F}"/>
    <cellStyle name="40% - Accent3 3 6 3" xfId="6229" xr:uid="{00000000-0005-0000-0000-000076050000}"/>
    <cellStyle name="40% - Accent3 3 6 3 2" xfId="14658" xr:uid="{28DC7543-66BE-435B-8552-FAB7EF17D9EB}"/>
    <cellStyle name="40% - Accent3 3 6 4" xfId="10440" xr:uid="{7381B0EC-ED95-4EDF-B168-D2B6978320C6}"/>
    <cellStyle name="40% - Accent3 3 7" xfId="2334" xr:uid="{00000000-0005-0000-0000-000077050000}"/>
    <cellStyle name="40% - Accent3 3 7 2" xfId="6642" xr:uid="{00000000-0005-0000-0000-000078050000}"/>
    <cellStyle name="40% - Accent3 3 7 2 2" xfId="15071" xr:uid="{01AD3FEC-781E-483B-B109-5D73FC35F70E}"/>
    <cellStyle name="40% - Accent3 3 7 3" xfId="10853" xr:uid="{D8A5D9A9-79FF-4443-8065-81391CC3F8A7}"/>
    <cellStyle name="40% - Accent3 3 8" xfId="4576" xr:uid="{00000000-0005-0000-0000-000079050000}"/>
    <cellStyle name="40% - Accent3 3 8 2" xfId="13005" xr:uid="{F473FC2A-F492-456A-8E2A-D91DA9FF7806}"/>
    <cellStyle name="40% - Accent3 3 9" xfId="8787" xr:uid="{D7FA3D2E-F5B6-4F66-9B41-69FCE6B5991B}"/>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2 2" xfId="15566" xr:uid="{404DBBE1-7614-48C3-B75F-61ADC1F3CF28}"/>
    <cellStyle name="40% - Accent3 4 2 2 3" xfId="11348" xr:uid="{E64F6302-C8A2-46BB-B74D-F3A366E41103}"/>
    <cellStyle name="40% - Accent3 4 2 3" xfId="4992" xr:uid="{00000000-0005-0000-0000-00007E050000}"/>
    <cellStyle name="40% - Accent3 4 2 3 2" xfId="13421" xr:uid="{0EEC6E86-5E9A-44A4-A1A2-79C9F7AD02EF}"/>
    <cellStyle name="40% - Accent3 4 2 4" xfId="9203" xr:uid="{59327C24-C59B-418E-9968-E558B7DE043D}"/>
    <cellStyle name="40% - Accent3 4 3" xfId="1095" xr:uid="{00000000-0005-0000-0000-00007F050000}"/>
    <cellStyle name="40% - Accent3 4 3 2" xfId="3326" xr:uid="{00000000-0005-0000-0000-000080050000}"/>
    <cellStyle name="40% - Accent3 4 3 2 2" xfId="7550" xr:uid="{00000000-0005-0000-0000-000081050000}"/>
    <cellStyle name="40% - Accent3 4 3 2 2 2" xfId="15979" xr:uid="{3D84CFF6-A71B-4F1D-B53C-F1008F08A8DC}"/>
    <cellStyle name="40% - Accent3 4 3 2 3" xfId="11761" xr:uid="{5976E7C0-9B1F-4994-BD89-9258A418FC9E}"/>
    <cellStyle name="40% - Accent3 4 3 3" xfId="5405" xr:uid="{00000000-0005-0000-0000-000082050000}"/>
    <cellStyle name="40% - Accent3 4 3 3 2" xfId="13834" xr:uid="{DE6D82AB-F1AF-4120-8BDC-8BFD623EE85E}"/>
    <cellStyle name="40% - Accent3 4 3 4" xfId="9616" xr:uid="{C50C53B4-C751-47BE-AFF5-F649BDA6CC7E}"/>
    <cellStyle name="40% - Accent3 4 4" xfId="1509" xr:uid="{00000000-0005-0000-0000-000083050000}"/>
    <cellStyle name="40% - Accent3 4 4 2" xfId="3739" xr:uid="{00000000-0005-0000-0000-000084050000}"/>
    <cellStyle name="40% - Accent3 4 4 2 2" xfId="7963" xr:uid="{00000000-0005-0000-0000-000085050000}"/>
    <cellStyle name="40% - Accent3 4 4 2 2 2" xfId="16392" xr:uid="{B501134D-1381-4537-8A86-76F7366E41C5}"/>
    <cellStyle name="40% - Accent3 4 4 2 3" xfId="12174" xr:uid="{EDDDAAF7-4188-4F55-B857-6908A4C18C05}"/>
    <cellStyle name="40% - Accent3 4 4 3" xfId="5818" xr:uid="{00000000-0005-0000-0000-000086050000}"/>
    <cellStyle name="40% - Accent3 4 4 3 2" xfId="14247" xr:uid="{9A22C51A-3FD4-4FCF-9D81-175121FE023E}"/>
    <cellStyle name="40% - Accent3 4 4 4" xfId="10029" xr:uid="{FE6C93E7-FCAC-4C64-80D9-F912E5C7BDC7}"/>
    <cellStyle name="40% - Accent3 4 5" xfId="1923" xr:uid="{00000000-0005-0000-0000-000087050000}"/>
    <cellStyle name="40% - Accent3 4 5 2" xfId="4152" xr:uid="{00000000-0005-0000-0000-000088050000}"/>
    <cellStyle name="40% - Accent3 4 5 2 2" xfId="8376" xr:uid="{00000000-0005-0000-0000-000089050000}"/>
    <cellStyle name="40% - Accent3 4 5 2 2 2" xfId="16805" xr:uid="{CFA2A31C-3E76-4D16-B321-6F77266524E8}"/>
    <cellStyle name="40% - Accent3 4 5 2 3" xfId="12587" xr:uid="{5F65B044-D5C6-4430-88C4-28E34E0A612D}"/>
    <cellStyle name="40% - Accent3 4 5 3" xfId="6231" xr:uid="{00000000-0005-0000-0000-00008A050000}"/>
    <cellStyle name="40% - Accent3 4 5 3 2" xfId="14660" xr:uid="{69A6A5C1-539E-4E18-BA56-35D61E1F38BA}"/>
    <cellStyle name="40% - Accent3 4 5 4" xfId="10442" xr:uid="{C3F34131-FDFF-4A1E-B245-5ED8D2970939}"/>
    <cellStyle name="40% - Accent3 4 6" xfId="2336" xr:uid="{00000000-0005-0000-0000-00008B050000}"/>
    <cellStyle name="40% - Accent3 4 6 2" xfId="6644" xr:uid="{00000000-0005-0000-0000-00008C050000}"/>
    <cellStyle name="40% - Accent3 4 6 2 2" xfId="15073" xr:uid="{5174EF88-0410-48C0-85D8-CECD7197CC2D}"/>
    <cellStyle name="40% - Accent3 4 6 3" xfId="10855" xr:uid="{293EEBC8-A791-4268-B868-ACBFD3A00AE2}"/>
    <cellStyle name="40% - Accent3 4 7" xfId="4578" xr:uid="{00000000-0005-0000-0000-00008D050000}"/>
    <cellStyle name="40% - Accent3 4 7 2" xfId="13007" xr:uid="{B1F0E58B-C53C-4917-AADA-8E28989C21DF}"/>
    <cellStyle name="40% - Accent3 4 8" xfId="8789" xr:uid="{65B10A68-F65A-45D5-B463-A953FD5F5BA1}"/>
    <cellStyle name="40% - Accent3 5" xfId="635" xr:uid="{00000000-0005-0000-0000-00008E050000}"/>
    <cellStyle name="40% - Accent3 5 2" xfId="2906" xr:uid="{00000000-0005-0000-0000-00008F050000}"/>
    <cellStyle name="40% - Accent3 5 2 2" xfId="7130" xr:uid="{00000000-0005-0000-0000-000090050000}"/>
    <cellStyle name="40% - Accent3 5 2 2 2" xfId="15559" xr:uid="{48CD6FC5-73D6-47E4-A360-253FA95DA0CC}"/>
    <cellStyle name="40% - Accent3 5 2 3" xfId="11341" xr:uid="{4196954D-BA85-4F4B-B450-4E8DF4561D26}"/>
    <cellStyle name="40% - Accent3 5 3" xfId="4985" xr:uid="{00000000-0005-0000-0000-000091050000}"/>
    <cellStyle name="40% - Accent3 5 3 2" xfId="13414" xr:uid="{1484C49E-3DE9-4804-9226-1DBB41F421C0}"/>
    <cellStyle name="40% - Accent3 5 4" xfId="9196" xr:uid="{6F2BDBEB-BA2F-4E97-812D-707AD61186D5}"/>
    <cellStyle name="40% - Accent3 6" xfId="1088" xr:uid="{00000000-0005-0000-0000-000092050000}"/>
    <cellStyle name="40% - Accent3 6 2" xfId="3319" xr:uid="{00000000-0005-0000-0000-000093050000}"/>
    <cellStyle name="40% - Accent3 6 2 2" xfId="7543" xr:uid="{00000000-0005-0000-0000-000094050000}"/>
    <cellStyle name="40% - Accent3 6 2 2 2" xfId="15972" xr:uid="{C3D80F61-9EC5-4B54-81EF-501F9E63414C}"/>
    <cellStyle name="40% - Accent3 6 2 3" xfId="11754" xr:uid="{B8DA84A2-8929-46DA-9B3A-AF53CF00F1A3}"/>
    <cellStyle name="40% - Accent3 6 3" xfId="5398" xr:uid="{00000000-0005-0000-0000-000095050000}"/>
    <cellStyle name="40% - Accent3 6 3 2" xfId="13827" xr:uid="{069E9E50-E291-465F-A868-DB07F0769BAD}"/>
    <cellStyle name="40% - Accent3 6 4" xfId="9609" xr:uid="{80F1D1DB-1BB8-45C7-9798-E5F1DDBFC652}"/>
    <cellStyle name="40% - Accent3 7" xfId="1502" xr:uid="{00000000-0005-0000-0000-000096050000}"/>
    <cellStyle name="40% - Accent3 7 2" xfId="3732" xr:uid="{00000000-0005-0000-0000-000097050000}"/>
    <cellStyle name="40% - Accent3 7 2 2" xfId="7956" xr:uid="{00000000-0005-0000-0000-000098050000}"/>
    <cellStyle name="40% - Accent3 7 2 2 2" xfId="16385" xr:uid="{1F4FBAFE-82AE-4199-B326-89B55CDD415E}"/>
    <cellStyle name="40% - Accent3 7 2 3" xfId="12167" xr:uid="{149D8247-4CEF-4A7D-8A9E-580C6048EB12}"/>
    <cellStyle name="40% - Accent3 7 3" xfId="5811" xr:uid="{00000000-0005-0000-0000-000099050000}"/>
    <cellStyle name="40% - Accent3 7 3 2" xfId="14240" xr:uid="{6F1DAFE7-43E9-442B-AF89-72788CB9D8BB}"/>
    <cellStyle name="40% - Accent3 7 4" xfId="10022" xr:uid="{B546B01C-39F8-483E-A9A2-A06114BD35A7}"/>
    <cellStyle name="40% - Accent3 8" xfId="1916" xr:uid="{00000000-0005-0000-0000-00009A050000}"/>
    <cellStyle name="40% - Accent3 8 2" xfId="4145" xr:uid="{00000000-0005-0000-0000-00009B050000}"/>
    <cellStyle name="40% - Accent3 8 2 2" xfId="8369" xr:uid="{00000000-0005-0000-0000-00009C050000}"/>
    <cellStyle name="40% - Accent3 8 2 2 2" xfId="16798" xr:uid="{09FCBA28-77A6-4EA3-A623-DC4FCE124E47}"/>
    <cellStyle name="40% - Accent3 8 2 3" xfId="12580" xr:uid="{58915650-1801-4D9C-9A38-EAE03F2E50A6}"/>
    <cellStyle name="40% - Accent3 8 3" xfId="6224" xr:uid="{00000000-0005-0000-0000-00009D050000}"/>
    <cellStyle name="40% - Accent3 8 3 2" xfId="14653" xr:uid="{75C5F952-2417-46BA-A468-A70A0902750F}"/>
    <cellStyle name="40% - Accent3 8 4" xfId="10435" xr:uid="{6EA9B2A4-C1B6-42AE-805D-3843B949A582}"/>
    <cellStyle name="40% - Accent3 9" xfId="2329" xr:uid="{00000000-0005-0000-0000-00009E050000}"/>
    <cellStyle name="40% - Accent3 9 2" xfId="6637" xr:uid="{00000000-0005-0000-0000-00009F050000}"/>
    <cellStyle name="40% - Accent3 9 2 2" xfId="15066" xr:uid="{C070A551-69C4-4F03-930F-FE34A1B1E1BE}"/>
    <cellStyle name="40% - Accent3 9 3" xfId="10848" xr:uid="{5FF7F6E7-7AAE-4D92-8761-C6069708985B}"/>
    <cellStyle name="40% - Accent4" xfId="73" builtinId="43" customBuiltin="1"/>
    <cellStyle name="40% - Accent4 10" xfId="4579" xr:uid="{00000000-0005-0000-0000-0000A1050000}"/>
    <cellStyle name="40% - Accent4 10 2" xfId="13008" xr:uid="{E3B93D89-4F5A-4C17-B8C5-E604D8BE460F}"/>
    <cellStyle name="40% - Accent4 11" xfId="8790" xr:uid="{3EE1D593-4F61-4596-BD1B-1D510235FED9}"/>
    <cellStyle name="40% - Accent4 2" xfId="74" xr:uid="{00000000-0005-0000-0000-0000A2050000}"/>
    <cellStyle name="40% - Accent4 2 10" xfId="8791" xr:uid="{27785BC1-8BA4-47DA-986A-69467D358954}"/>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2 2" xfId="15570" xr:uid="{7BE5E133-03E7-4637-BE42-22F144AA09A7}"/>
    <cellStyle name="40% - Accent4 2 2 2 2 2 3" xfId="11352" xr:uid="{E5EC32D7-9A67-4B79-A9E6-E282E312F5B5}"/>
    <cellStyle name="40% - Accent4 2 2 2 2 3" xfId="4996" xr:uid="{00000000-0005-0000-0000-0000A8050000}"/>
    <cellStyle name="40% - Accent4 2 2 2 2 3 2" xfId="13425" xr:uid="{77EEBF3E-0C39-49B5-81C8-71912EC00A18}"/>
    <cellStyle name="40% - Accent4 2 2 2 2 4" xfId="9207" xr:uid="{8C0CA4E4-09F2-410C-9EC5-8150331ACFED}"/>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2 2" xfId="15983" xr:uid="{9EB99766-0B0F-484C-855A-2B0B5ADD6CF3}"/>
    <cellStyle name="40% - Accent4 2 2 2 3 2 3" xfId="11765" xr:uid="{9E09DB2A-D880-4EB7-8471-F99C351933FF}"/>
    <cellStyle name="40% - Accent4 2 2 2 3 3" xfId="5409" xr:uid="{00000000-0005-0000-0000-0000AC050000}"/>
    <cellStyle name="40% - Accent4 2 2 2 3 3 2" xfId="13838" xr:uid="{62FBF3FA-1A29-4A2A-8DFB-4E98133B904D}"/>
    <cellStyle name="40% - Accent4 2 2 2 3 4" xfId="9620" xr:uid="{E9C7C46D-E378-4273-A95B-D452D4B88ABA}"/>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2 2" xfId="16396" xr:uid="{F98F94A1-6D8F-497B-9FF7-B129BC42D5D6}"/>
    <cellStyle name="40% - Accent4 2 2 2 4 2 3" xfId="12178" xr:uid="{C5424783-83E1-4540-ACCB-3158DA8F4EE8}"/>
    <cellStyle name="40% - Accent4 2 2 2 4 3" xfId="5822" xr:uid="{00000000-0005-0000-0000-0000B0050000}"/>
    <cellStyle name="40% - Accent4 2 2 2 4 3 2" xfId="14251" xr:uid="{F9D490D9-BE95-4983-B799-43FC20A7DCF0}"/>
    <cellStyle name="40% - Accent4 2 2 2 4 4" xfId="10033" xr:uid="{5ABE3F2E-22AE-4624-A1A8-3F27D6DED7E9}"/>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2 2" xfId="16809" xr:uid="{2E49C571-EC13-4754-9921-E87140693EDD}"/>
    <cellStyle name="40% - Accent4 2 2 2 5 2 3" xfId="12591" xr:uid="{7929924B-CD9A-4C1E-9F71-A2A7BADD6914}"/>
    <cellStyle name="40% - Accent4 2 2 2 5 3" xfId="6235" xr:uid="{00000000-0005-0000-0000-0000B4050000}"/>
    <cellStyle name="40% - Accent4 2 2 2 5 3 2" xfId="14664" xr:uid="{2186A23C-A475-4B61-9A52-CCFB803ECDAF}"/>
    <cellStyle name="40% - Accent4 2 2 2 5 4" xfId="10446" xr:uid="{B5A9EE44-C1E8-4284-9434-0AC320F5EC6F}"/>
    <cellStyle name="40% - Accent4 2 2 2 6" xfId="2340" xr:uid="{00000000-0005-0000-0000-0000B5050000}"/>
    <cellStyle name="40% - Accent4 2 2 2 6 2" xfId="6648" xr:uid="{00000000-0005-0000-0000-0000B6050000}"/>
    <cellStyle name="40% - Accent4 2 2 2 6 2 2" xfId="15077" xr:uid="{0447141E-EE56-4FAD-AF70-3D22950E4AD7}"/>
    <cellStyle name="40% - Accent4 2 2 2 6 3" xfId="10859" xr:uid="{F68E2E26-7962-4670-A59E-8D1B22E0D668}"/>
    <cellStyle name="40% - Accent4 2 2 2 7" xfId="4582" xr:uid="{00000000-0005-0000-0000-0000B7050000}"/>
    <cellStyle name="40% - Accent4 2 2 2 7 2" xfId="13011" xr:uid="{297FC460-CB80-4B63-9541-F84217522826}"/>
    <cellStyle name="40% - Accent4 2 2 2 8" xfId="8793" xr:uid="{AB6D77FF-9779-4D8A-8998-D5F6A6A7E7E1}"/>
    <cellStyle name="40% - Accent4 2 2 3" xfId="645" xr:uid="{00000000-0005-0000-0000-0000B8050000}"/>
    <cellStyle name="40% - Accent4 2 2 3 2" xfId="2916" xr:uid="{00000000-0005-0000-0000-0000B9050000}"/>
    <cellStyle name="40% - Accent4 2 2 3 2 2" xfId="7140" xr:uid="{00000000-0005-0000-0000-0000BA050000}"/>
    <cellStyle name="40% - Accent4 2 2 3 2 2 2" xfId="15569" xr:uid="{4B70DD54-F017-460F-ADDE-136504C481F6}"/>
    <cellStyle name="40% - Accent4 2 2 3 2 3" xfId="11351" xr:uid="{C6EE0EB4-3292-491D-BDAB-F7B233F656F9}"/>
    <cellStyle name="40% - Accent4 2 2 3 3" xfId="4995" xr:uid="{00000000-0005-0000-0000-0000BB050000}"/>
    <cellStyle name="40% - Accent4 2 2 3 3 2" xfId="13424" xr:uid="{2C497600-3A24-4691-ADF0-E53C3A182F04}"/>
    <cellStyle name="40% - Accent4 2 2 3 4" xfId="9206" xr:uid="{B150CFD1-AA27-4707-A912-AE6986A80AC1}"/>
    <cellStyle name="40% - Accent4 2 2 4" xfId="1098" xr:uid="{00000000-0005-0000-0000-0000BC050000}"/>
    <cellStyle name="40% - Accent4 2 2 4 2" xfId="3329" xr:uid="{00000000-0005-0000-0000-0000BD050000}"/>
    <cellStyle name="40% - Accent4 2 2 4 2 2" xfId="7553" xr:uid="{00000000-0005-0000-0000-0000BE050000}"/>
    <cellStyle name="40% - Accent4 2 2 4 2 2 2" xfId="15982" xr:uid="{2366EE19-A575-4D2E-B769-9EEBFC815B90}"/>
    <cellStyle name="40% - Accent4 2 2 4 2 3" xfId="11764" xr:uid="{DD4EF1CE-28B5-48E7-BDEF-555B361FB58A}"/>
    <cellStyle name="40% - Accent4 2 2 4 3" xfId="5408" xr:uid="{00000000-0005-0000-0000-0000BF050000}"/>
    <cellStyle name="40% - Accent4 2 2 4 3 2" xfId="13837" xr:uid="{36D1C225-684B-48E4-BE73-FC628C1A58B9}"/>
    <cellStyle name="40% - Accent4 2 2 4 4" xfId="9619" xr:uid="{90FF5D99-93A8-4313-87C8-95CADDA28E8D}"/>
    <cellStyle name="40% - Accent4 2 2 5" xfId="1512" xr:uid="{00000000-0005-0000-0000-0000C0050000}"/>
    <cellStyle name="40% - Accent4 2 2 5 2" xfId="3742" xr:uid="{00000000-0005-0000-0000-0000C1050000}"/>
    <cellStyle name="40% - Accent4 2 2 5 2 2" xfId="7966" xr:uid="{00000000-0005-0000-0000-0000C2050000}"/>
    <cellStyle name="40% - Accent4 2 2 5 2 2 2" xfId="16395" xr:uid="{A43C7867-6206-4418-9C1E-0C2EA5CAB955}"/>
    <cellStyle name="40% - Accent4 2 2 5 2 3" xfId="12177" xr:uid="{A62993E8-D3C7-4DB9-A628-86E256E2FB3D}"/>
    <cellStyle name="40% - Accent4 2 2 5 3" xfId="5821" xr:uid="{00000000-0005-0000-0000-0000C3050000}"/>
    <cellStyle name="40% - Accent4 2 2 5 3 2" xfId="14250" xr:uid="{078851EA-83CA-4C5A-A62B-2F385ACFB1B2}"/>
    <cellStyle name="40% - Accent4 2 2 5 4" xfId="10032" xr:uid="{FBC730B8-707D-4C42-935D-930E6047B89F}"/>
    <cellStyle name="40% - Accent4 2 2 6" xfId="1926" xr:uid="{00000000-0005-0000-0000-0000C4050000}"/>
    <cellStyle name="40% - Accent4 2 2 6 2" xfId="4155" xr:uid="{00000000-0005-0000-0000-0000C5050000}"/>
    <cellStyle name="40% - Accent4 2 2 6 2 2" xfId="8379" xr:uid="{00000000-0005-0000-0000-0000C6050000}"/>
    <cellStyle name="40% - Accent4 2 2 6 2 2 2" xfId="16808" xr:uid="{75B4017C-2070-409A-8B1B-AB26F851A650}"/>
    <cellStyle name="40% - Accent4 2 2 6 2 3" xfId="12590" xr:uid="{21B8CD7B-EB28-4FD4-A0C1-0F133B0C6D47}"/>
    <cellStyle name="40% - Accent4 2 2 6 3" xfId="6234" xr:uid="{00000000-0005-0000-0000-0000C7050000}"/>
    <cellStyle name="40% - Accent4 2 2 6 3 2" xfId="14663" xr:uid="{72842810-1D77-4A7F-A429-6E1967A77BEC}"/>
    <cellStyle name="40% - Accent4 2 2 6 4" xfId="10445" xr:uid="{5BEBB2DA-936F-4DDE-A58B-103CDC0EE4A0}"/>
    <cellStyle name="40% - Accent4 2 2 7" xfId="2339" xr:uid="{00000000-0005-0000-0000-0000C8050000}"/>
    <cellStyle name="40% - Accent4 2 2 7 2" xfId="6647" xr:uid="{00000000-0005-0000-0000-0000C9050000}"/>
    <cellStyle name="40% - Accent4 2 2 7 2 2" xfId="15076" xr:uid="{453CB3F9-74A4-4C24-930F-848F87952517}"/>
    <cellStyle name="40% - Accent4 2 2 7 3" xfId="10858" xr:uid="{52BAE99F-10F2-43DD-A930-1867F284B223}"/>
    <cellStyle name="40% - Accent4 2 2 8" xfId="4581" xr:uid="{00000000-0005-0000-0000-0000CA050000}"/>
    <cellStyle name="40% - Accent4 2 2 8 2" xfId="13010" xr:uid="{2576A7B7-EA6C-45D9-8A15-E88FE16AFE0C}"/>
    <cellStyle name="40% - Accent4 2 2 9" xfId="8792" xr:uid="{8DF505AD-36CB-4717-928E-4D85FD32C14E}"/>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2 2" xfId="15571" xr:uid="{9270C411-0319-4C97-B698-6E9B2400EFA3}"/>
    <cellStyle name="40% - Accent4 2 3 2 2 3" xfId="11353" xr:uid="{C2C41EF8-8B33-4126-8E55-D82F383501D1}"/>
    <cellStyle name="40% - Accent4 2 3 2 3" xfId="4997" xr:uid="{00000000-0005-0000-0000-0000CF050000}"/>
    <cellStyle name="40% - Accent4 2 3 2 3 2" xfId="13426" xr:uid="{E3551C5B-CE1E-4FCE-9916-495DA9E41E7E}"/>
    <cellStyle name="40% - Accent4 2 3 2 4" xfId="9208" xr:uid="{21130C82-3400-4FF2-873C-FF6BE9702B14}"/>
    <cellStyle name="40% - Accent4 2 3 3" xfId="1100" xr:uid="{00000000-0005-0000-0000-0000D0050000}"/>
    <cellStyle name="40% - Accent4 2 3 3 2" xfId="3331" xr:uid="{00000000-0005-0000-0000-0000D1050000}"/>
    <cellStyle name="40% - Accent4 2 3 3 2 2" xfId="7555" xr:uid="{00000000-0005-0000-0000-0000D2050000}"/>
    <cellStyle name="40% - Accent4 2 3 3 2 2 2" xfId="15984" xr:uid="{3F611573-02A5-4E61-82F2-CC472BA7D6B4}"/>
    <cellStyle name="40% - Accent4 2 3 3 2 3" xfId="11766" xr:uid="{1414F34E-851C-483B-B272-E8709ED67743}"/>
    <cellStyle name="40% - Accent4 2 3 3 3" xfId="5410" xr:uid="{00000000-0005-0000-0000-0000D3050000}"/>
    <cellStyle name="40% - Accent4 2 3 3 3 2" xfId="13839" xr:uid="{43D827B2-2E0A-4D8C-A226-0BB70B8C3E04}"/>
    <cellStyle name="40% - Accent4 2 3 3 4" xfId="9621" xr:uid="{C07E5704-2D26-405D-9ADD-2F1C31F846EE}"/>
    <cellStyle name="40% - Accent4 2 3 4" xfId="1514" xr:uid="{00000000-0005-0000-0000-0000D4050000}"/>
    <cellStyle name="40% - Accent4 2 3 4 2" xfId="3744" xr:uid="{00000000-0005-0000-0000-0000D5050000}"/>
    <cellStyle name="40% - Accent4 2 3 4 2 2" xfId="7968" xr:uid="{00000000-0005-0000-0000-0000D6050000}"/>
    <cellStyle name="40% - Accent4 2 3 4 2 2 2" xfId="16397" xr:uid="{801EB822-BF51-4D38-AE68-E8697140EF86}"/>
    <cellStyle name="40% - Accent4 2 3 4 2 3" xfId="12179" xr:uid="{8D5A2659-DDE0-4FDD-85C4-940E6171F12E}"/>
    <cellStyle name="40% - Accent4 2 3 4 3" xfId="5823" xr:uid="{00000000-0005-0000-0000-0000D7050000}"/>
    <cellStyle name="40% - Accent4 2 3 4 3 2" xfId="14252" xr:uid="{4CFBBD12-33A8-40F0-8EA2-7B01B24B1B5C}"/>
    <cellStyle name="40% - Accent4 2 3 4 4" xfId="10034" xr:uid="{6A94B1A5-D114-4EE4-A92C-76CFDA61FD7E}"/>
    <cellStyle name="40% - Accent4 2 3 5" xfId="1928" xr:uid="{00000000-0005-0000-0000-0000D8050000}"/>
    <cellStyle name="40% - Accent4 2 3 5 2" xfId="4157" xr:uid="{00000000-0005-0000-0000-0000D9050000}"/>
    <cellStyle name="40% - Accent4 2 3 5 2 2" xfId="8381" xr:uid="{00000000-0005-0000-0000-0000DA050000}"/>
    <cellStyle name="40% - Accent4 2 3 5 2 2 2" xfId="16810" xr:uid="{0FCB8152-DA41-416A-B121-C37DAEBE5CBD}"/>
    <cellStyle name="40% - Accent4 2 3 5 2 3" xfId="12592" xr:uid="{2ADDA077-2565-46A2-B3AC-7727B4361988}"/>
    <cellStyle name="40% - Accent4 2 3 5 3" xfId="6236" xr:uid="{00000000-0005-0000-0000-0000DB050000}"/>
    <cellStyle name="40% - Accent4 2 3 5 3 2" xfId="14665" xr:uid="{B1919C49-9725-48EF-A1CD-B5FEAD451DE6}"/>
    <cellStyle name="40% - Accent4 2 3 5 4" xfId="10447" xr:uid="{5B4B16C3-0FA9-4BF9-B319-E36EB37A7B77}"/>
    <cellStyle name="40% - Accent4 2 3 6" xfId="2341" xr:uid="{00000000-0005-0000-0000-0000DC050000}"/>
    <cellStyle name="40% - Accent4 2 3 6 2" xfId="6649" xr:uid="{00000000-0005-0000-0000-0000DD050000}"/>
    <cellStyle name="40% - Accent4 2 3 6 2 2" xfId="15078" xr:uid="{E0A68E32-09CB-47FB-BE42-DEFF73159EEA}"/>
    <cellStyle name="40% - Accent4 2 3 6 3" xfId="10860" xr:uid="{7D8B99B5-A423-4D86-AA18-11A7AD86CBE0}"/>
    <cellStyle name="40% - Accent4 2 3 7" xfId="4583" xr:uid="{00000000-0005-0000-0000-0000DE050000}"/>
    <cellStyle name="40% - Accent4 2 3 7 2" xfId="13012" xr:uid="{E8B7EB36-E634-426A-B97A-48CAEADE4790}"/>
    <cellStyle name="40% - Accent4 2 3 8" xfId="8794" xr:uid="{F44A9FE2-0899-46BE-9958-B4041BD21FC9}"/>
    <cellStyle name="40% - Accent4 2 4" xfId="644" xr:uid="{00000000-0005-0000-0000-0000DF050000}"/>
    <cellStyle name="40% - Accent4 2 4 2" xfId="2915" xr:uid="{00000000-0005-0000-0000-0000E0050000}"/>
    <cellStyle name="40% - Accent4 2 4 2 2" xfId="7139" xr:uid="{00000000-0005-0000-0000-0000E1050000}"/>
    <cellStyle name="40% - Accent4 2 4 2 2 2" xfId="15568" xr:uid="{7841C895-6ADD-4DA0-8737-D28FDE40319F}"/>
    <cellStyle name="40% - Accent4 2 4 2 3" xfId="11350" xr:uid="{7889488F-7531-4861-A6EA-AA5D3E98302D}"/>
    <cellStyle name="40% - Accent4 2 4 3" xfId="4994" xr:uid="{00000000-0005-0000-0000-0000E2050000}"/>
    <cellStyle name="40% - Accent4 2 4 3 2" xfId="13423" xr:uid="{C23F757F-8E31-416F-B582-E5503925A13A}"/>
    <cellStyle name="40% - Accent4 2 4 4" xfId="9205" xr:uid="{A9AA1A32-374C-451D-A604-F17093C00A4E}"/>
    <cellStyle name="40% - Accent4 2 5" xfId="1097" xr:uid="{00000000-0005-0000-0000-0000E3050000}"/>
    <cellStyle name="40% - Accent4 2 5 2" xfId="3328" xr:uid="{00000000-0005-0000-0000-0000E4050000}"/>
    <cellStyle name="40% - Accent4 2 5 2 2" xfId="7552" xr:uid="{00000000-0005-0000-0000-0000E5050000}"/>
    <cellStyle name="40% - Accent4 2 5 2 2 2" xfId="15981" xr:uid="{B6B1BF10-B0E3-4142-BE83-F71FCA1C3A4B}"/>
    <cellStyle name="40% - Accent4 2 5 2 3" xfId="11763" xr:uid="{02692970-D8A4-4CC3-95F0-8A4673C13CCD}"/>
    <cellStyle name="40% - Accent4 2 5 3" xfId="5407" xr:uid="{00000000-0005-0000-0000-0000E6050000}"/>
    <cellStyle name="40% - Accent4 2 5 3 2" xfId="13836" xr:uid="{D5A19086-88FA-4EF6-BA31-0689CF5A493B}"/>
    <cellStyle name="40% - Accent4 2 5 4" xfId="9618" xr:uid="{343109E6-FF8E-4D48-8921-32BEB1D0CF57}"/>
    <cellStyle name="40% - Accent4 2 6" xfId="1511" xr:uid="{00000000-0005-0000-0000-0000E7050000}"/>
    <cellStyle name="40% - Accent4 2 6 2" xfId="3741" xr:uid="{00000000-0005-0000-0000-0000E8050000}"/>
    <cellStyle name="40% - Accent4 2 6 2 2" xfId="7965" xr:uid="{00000000-0005-0000-0000-0000E9050000}"/>
    <cellStyle name="40% - Accent4 2 6 2 2 2" xfId="16394" xr:uid="{2C0CDB90-8445-43DF-9B6A-F2237EF72B51}"/>
    <cellStyle name="40% - Accent4 2 6 2 3" xfId="12176" xr:uid="{B8773084-1D79-4555-B717-FAC2C990FE4F}"/>
    <cellStyle name="40% - Accent4 2 6 3" xfId="5820" xr:uid="{00000000-0005-0000-0000-0000EA050000}"/>
    <cellStyle name="40% - Accent4 2 6 3 2" xfId="14249" xr:uid="{A7AABE6E-6CDF-4757-A635-85730F55C085}"/>
    <cellStyle name="40% - Accent4 2 6 4" xfId="10031" xr:uid="{882D3861-36FA-4132-A3AB-77868CA309E7}"/>
    <cellStyle name="40% - Accent4 2 7" xfId="1925" xr:uid="{00000000-0005-0000-0000-0000EB050000}"/>
    <cellStyle name="40% - Accent4 2 7 2" xfId="4154" xr:uid="{00000000-0005-0000-0000-0000EC050000}"/>
    <cellStyle name="40% - Accent4 2 7 2 2" xfId="8378" xr:uid="{00000000-0005-0000-0000-0000ED050000}"/>
    <cellStyle name="40% - Accent4 2 7 2 2 2" xfId="16807" xr:uid="{3AEA2407-520C-45E1-92D2-EC666E230FBC}"/>
    <cellStyle name="40% - Accent4 2 7 2 3" xfId="12589" xr:uid="{4EDE30B4-E6C1-4D14-B968-D2C4CCB655B0}"/>
    <cellStyle name="40% - Accent4 2 7 3" xfId="6233" xr:uid="{00000000-0005-0000-0000-0000EE050000}"/>
    <cellStyle name="40% - Accent4 2 7 3 2" xfId="14662" xr:uid="{9F0C32CB-83F8-41B5-A28C-98C46B7F328D}"/>
    <cellStyle name="40% - Accent4 2 7 4" xfId="10444" xr:uid="{847A61EE-E236-4845-B7BF-333AEF0A8307}"/>
    <cellStyle name="40% - Accent4 2 8" xfId="2338" xr:uid="{00000000-0005-0000-0000-0000EF050000}"/>
    <cellStyle name="40% - Accent4 2 8 2" xfId="6646" xr:uid="{00000000-0005-0000-0000-0000F0050000}"/>
    <cellStyle name="40% - Accent4 2 8 2 2" xfId="15075" xr:uid="{06951E5F-FE8C-42CB-8E69-383F8BCA0CFA}"/>
    <cellStyle name="40% - Accent4 2 8 3" xfId="10857" xr:uid="{8DAD7DD8-C124-472B-94F6-222920DD5A5B}"/>
    <cellStyle name="40% - Accent4 2 9" xfId="4580" xr:uid="{00000000-0005-0000-0000-0000F1050000}"/>
    <cellStyle name="40% - Accent4 2 9 2" xfId="13009" xr:uid="{3FD7080F-BBC3-4D30-B0E3-8DD70A6B08EE}"/>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2 2" xfId="15573" xr:uid="{44B769A2-25C9-40D1-BEB5-654536EB7C88}"/>
    <cellStyle name="40% - Accent4 3 2 2 2 3" xfId="11355" xr:uid="{9DA3D385-5C6F-4C18-9D34-354769D6427E}"/>
    <cellStyle name="40% - Accent4 3 2 2 3" xfId="4999" xr:uid="{00000000-0005-0000-0000-0000F7050000}"/>
    <cellStyle name="40% - Accent4 3 2 2 3 2" xfId="13428" xr:uid="{B3775329-8773-4155-B950-09656A8C8240}"/>
    <cellStyle name="40% - Accent4 3 2 2 4" xfId="9210" xr:uid="{A6C5E89F-6F24-4F1D-BA6B-AC55BD720EEE}"/>
    <cellStyle name="40% - Accent4 3 2 3" xfId="1102" xr:uid="{00000000-0005-0000-0000-0000F8050000}"/>
    <cellStyle name="40% - Accent4 3 2 3 2" xfId="3333" xr:uid="{00000000-0005-0000-0000-0000F9050000}"/>
    <cellStyle name="40% - Accent4 3 2 3 2 2" xfId="7557" xr:uid="{00000000-0005-0000-0000-0000FA050000}"/>
    <cellStyle name="40% - Accent4 3 2 3 2 2 2" xfId="15986" xr:uid="{739B1A52-54E5-45A6-A6D1-60385785EABF}"/>
    <cellStyle name="40% - Accent4 3 2 3 2 3" xfId="11768" xr:uid="{DF13DB45-0601-45F3-AFE3-D3DF470CD7A8}"/>
    <cellStyle name="40% - Accent4 3 2 3 3" xfId="5412" xr:uid="{00000000-0005-0000-0000-0000FB050000}"/>
    <cellStyle name="40% - Accent4 3 2 3 3 2" xfId="13841" xr:uid="{4D72842D-454C-44D7-912A-C310D71845C8}"/>
    <cellStyle name="40% - Accent4 3 2 3 4" xfId="9623" xr:uid="{DADE8D4C-9C7D-492B-87B1-15CC6D2A432A}"/>
    <cellStyle name="40% - Accent4 3 2 4" xfId="1516" xr:uid="{00000000-0005-0000-0000-0000FC050000}"/>
    <cellStyle name="40% - Accent4 3 2 4 2" xfId="3746" xr:uid="{00000000-0005-0000-0000-0000FD050000}"/>
    <cellStyle name="40% - Accent4 3 2 4 2 2" xfId="7970" xr:uid="{00000000-0005-0000-0000-0000FE050000}"/>
    <cellStyle name="40% - Accent4 3 2 4 2 2 2" xfId="16399" xr:uid="{09529908-033D-4D7A-AB50-DF493D2CC1B5}"/>
    <cellStyle name="40% - Accent4 3 2 4 2 3" xfId="12181" xr:uid="{233FCA31-ADC4-4D2E-BC63-6D2118C5D5F6}"/>
    <cellStyle name="40% - Accent4 3 2 4 3" xfId="5825" xr:uid="{00000000-0005-0000-0000-0000FF050000}"/>
    <cellStyle name="40% - Accent4 3 2 4 3 2" xfId="14254" xr:uid="{3415B655-538E-4887-9892-12B0F01187E3}"/>
    <cellStyle name="40% - Accent4 3 2 4 4" xfId="10036" xr:uid="{0D73CC27-0A97-49B6-8C74-A95A3978E0B1}"/>
    <cellStyle name="40% - Accent4 3 2 5" xfId="1930" xr:uid="{00000000-0005-0000-0000-000000060000}"/>
    <cellStyle name="40% - Accent4 3 2 5 2" xfId="4159" xr:uid="{00000000-0005-0000-0000-000001060000}"/>
    <cellStyle name="40% - Accent4 3 2 5 2 2" xfId="8383" xr:uid="{00000000-0005-0000-0000-000002060000}"/>
    <cellStyle name="40% - Accent4 3 2 5 2 2 2" xfId="16812" xr:uid="{6EB54219-F81E-4CB5-9532-9A5E05333C55}"/>
    <cellStyle name="40% - Accent4 3 2 5 2 3" xfId="12594" xr:uid="{01ACF924-E896-4F8C-9223-BB829818F5D5}"/>
    <cellStyle name="40% - Accent4 3 2 5 3" xfId="6238" xr:uid="{00000000-0005-0000-0000-000003060000}"/>
    <cellStyle name="40% - Accent4 3 2 5 3 2" xfId="14667" xr:uid="{76020CF3-D14E-4F55-B57C-79AC315A812F}"/>
    <cellStyle name="40% - Accent4 3 2 5 4" xfId="10449" xr:uid="{D77E1594-25CE-402E-833E-C2E55BBFF033}"/>
    <cellStyle name="40% - Accent4 3 2 6" xfId="2343" xr:uid="{00000000-0005-0000-0000-000004060000}"/>
    <cellStyle name="40% - Accent4 3 2 6 2" xfId="6651" xr:uid="{00000000-0005-0000-0000-000005060000}"/>
    <cellStyle name="40% - Accent4 3 2 6 2 2" xfId="15080" xr:uid="{AD0DEDA7-F557-4AB7-BB73-D75F43C95C05}"/>
    <cellStyle name="40% - Accent4 3 2 6 3" xfId="10862" xr:uid="{D8B0BC5C-DFFC-4F0B-8772-00EB7B8C258F}"/>
    <cellStyle name="40% - Accent4 3 2 7" xfId="4585" xr:uid="{00000000-0005-0000-0000-000006060000}"/>
    <cellStyle name="40% - Accent4 3 2 7 2" xfId="13014" xr:uid="{D83191B6-D3B7-4454-8C29-D90E9FE99CB2}"/>
    <cellStyle name="40% - Accent4 3 2 8" xfId="8796" xr:uid="{9D2B954F-D014-4863-ABFE-64A270602AFA}"/>
    <cellStyle name="40% - Accent4 3 3" xfId="648" xr:uid="{00000000-0005-0000-0000-000007060000}"/>
    <cellStyle name="40% - Accent4 3 3 2" xfId="2919" xr:uid="{00000000-0005-0000-0000-000008060000}"/>
    <cellStyle name="40% - Accent4 3 3 2 2" xfId="7143" xr:uid="{00000000-0005-0000-0000-000009060000}"/>
    <cellStyle name="40% - Accent4 3 3 2 2 2" xfId="15572" xr:uid="{1CE3D0E5-3CA4-4756-9C06-305196856E3B}"/>
    <cellStyle name="40% - Accent4 3 3 2 3" xfId="11354" xr:uid="{E0D19807-521C-44DD-90DF-12CA0A74998C}"/>
    <cellStyle name="40% - Accent4 3 3 3" xfId="4998" xr:uid="{00000000-0005-0000-0000-00000A060000}"/>
    <cellStyle name="40% - Accent4 3 3 3 2" xfId="13427" xr:uid="{26DA60E6-5242-4446-A634-FE9E38CB32AC}"/>
    <cellStyle name="40% - Accent4 3 3 4" xfId="9209" xr:uid="{DC645F6E-9816-47D3-9632-61E2B46B1BE7}"/>
    <cellStyle name="40% - Accent4 3 4" xfId="1101" xr:uid="{00000000-0005-0000-0000-00000B060000}"/>
    <cellStyle name="40% - Accent4 3 4 2" xfId="3332" xr:uid="{00000000-0005-0000-0000-00000C060000}"/>
    <cellStyle name="40% - Accent4 3 4 2 2" xfId="7556" xr:uid="{00000000-0005-0000-0000-00000D060000}"/>
    <cellStyle name="40% - Accent4 3 4 2 2 2" xfId="15985" xr:uid="{1AD5BCDA-6394-478E-A282-8938CB4627A9}"/>
    <cellStyle name="40% - Accent4 3 4 2 3" xfId="11767" xr:uid="{47A813F7-3960-44BA-8A95-30F661C5E0C7}"/>
    <cellStyle name="40% - Accent4 3 4 3" xfId="5411" xr:uid="{00000000-0005-0000-0000-00000E060000}"/>
    <cellStyle name="40% - Accent4 3 4 3 2" xfId="13840" xr:uid="{A924D284-B96C-42B1-8965-A7F3E55B4D56}"/>
    <cellStyle name="40% - Accent4 3 4 4" xfId="9622" xr:uid="{BB0ADDE0-3920-4006-9F62-19DC1B3E9B45}"/>
    <cellStyle name="40% - Accent4 3 5" xfId="1515" xr:uid="{00000000-0005-0000-0000-00000F060000}"/>
    <cellStyle name="40% - Accent4 3 5 2" xfId="3745" xr:uid="{00000000-0005-0000-0000-000010060000}"/>
    <cellStyle name="40% - Accent4 3 5 2 2" xfId="7969" xr:uid="{00000000-0005-0000-0000-000011060000}"/>
    <cellStyle name="40% - Accent4 3 5 2 2 2" xfId="16398" xr:uid="{DB553C6A-B1D8-4DA6-8E97-4297B4AEB68A}"/>
    <cellStyle name="40% - Accent4 3 5 2 3" xfId="12180" xr:uid="{78B98A6E-7719-4452-BD1B-53E9DC0805A9}"/>
    <cellStyle name="40% - Accent4 3 5 3" xfId="5824" xr:uid="{00000000-0005-0000-0000-000012060000}"/>
    <cellStyle name="40% - Accent4 3 5 3 2" xfId="14253" xr:uid="{ACCFC800-53C1-4C3C-8301-C372A610E0F2}"/>
    <cellStyle name="40% - Accent4 3 5 4" xfId="10035" xr:uid="{F0081D51-C80D-46E5-84E8-4BFEE4114735}"/>
    <cellStyle name="40% - Accent4 3 6" xfId="1929" xr:uid="{00000000-0005-0000-0000-000013060000}"/>
    <cellStyle name="40% - Accent4 3 6 2" xfId="4158" xr:uid="{00000000-0005-0000-0000-000014060000}"/>
    <cellStyle name="40% - Accent4 3 6 2 2" xfId="8382" xr:uid="{00000000-0005-0000-0000-000015060000}"/>
    <cellStyle name="40% - Accent4 3 6 2 2 2" xfId="16811" xr:uid="{9FEC7712-69ED-4CB5-9E2E-806AB9017748}"/>
    <cellStyle name="40% - Accent4 3 6 2 3" xfId="12593" xr:uid="{6B1B2957-C35B-40DC-A728-EBFA920DABF3}"/>
    <cellStyle name="40% - Accent4 3 6 3" xfId="6237" xr:uid="{00000000-0005-0000-0000-000016060000}"/>
    <cellStyle name="40% - Accent4 3 6 3 2" xfId="14666" xr:uid="{399033A0-E866-49B3-8EC3-CB6B68E22231}"/>
    <cellStyle name="40% - Accent4 3 6 4" xfId="10448" xr:uid="{BB21523D-2E68-4CEC-B1A3-CE95DA851D52}"/>
    <cellStyle name="40% - Accent4 3 7" xfId="2342" xr:uid="{00000000-0005-0000-0000-000017060000}"/>
    <cellStyle name="40% - Accent4 3 7 2" xfId="6650" xr:uid="{00000000-0005-0000-0000-000018060000}"/>
    <cellStyle name="40% - Accent4 3 7 2 2" xfId="15079" xr:uid="{4D88F852-FB90-428F-AEB6-CB0589DB714C}"/>
    <cellStyle name="40% - Accent4 3 7 3" xfId="10861" xr:uid="{F30D901C-3681-45A6-9462-C387D2C04617}"/>
    <cellStyle name="40% - Accent4 3 8" xfId="4584" xr:uid="{00000000-0005-0000-0000-000019060000}"/>
    <cellStyle name="40% - Accent4 3 8 2" xfId="13013" xr:uid="{8580FD4D-3027-4D2F-87D8-A526A7B216D7}"/>
    <cellStyle name="40% - Accent4 3 9" xfId="8795" xr:uid="{9C875056-A9FE-4F25-8596-66F254274F5D}"/>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2 2" xfId="15574" xr:uid="{D79A66E7-ED86-42DE-944E-851C32B5EADC}"/>
    <cellStyle name="40% - Accent4 4 2 2 3" xfId="11356" xr:uid="{7DC1078C-DB71-415C-8E2B-0F1ABE1CC19E}"/>
    <cellStyle name="40% - Accent4 4 2 3" xfId="5000" xr:uid="{00000000-0005-0000-0000-00001E060000}"/>
    <cellStyle name="40% - Accent4 4 2 3 2" xfId="13429" xr:uid="{EDBA4A68-9F46-498E-857D-3AEBAED1DCDE}"/>
    <cellStyle name="40% - Accent4 4 2 4" xfId="9211" xr:uid="{34DB74F5-36C5-41AC-81B6-62B31B87E9E9}"/>
    <cellStyle name="40% - Accent4 4 3" xfId="1103" xr:uid="{00000000-0005-0000-0000-00001F060000}"/>
    <cellStyle name="40% - Accent4 4 3 2" xfId="3334" xr:uid="{00000000-0005-0000-0000-000020060000}"/>
    <cellStyle name="40% - Accent4 4 3 2 2" xfId="7558" xr:uid="{00000000-0005-0000-0000-000021060000}"/>
    <cellStyle name="40% - Accent4 4 3 2 2 2" xfId="15987" xr:uid="{1885C5BC-FCC3-468C-8806-1124F212472B}"/>
    <cellStyle name="40% - Accent4 4 3 2 3" xfId="11769" xr:uid="{13F1D623-A120-4B4D-8B3E-B022FF0FF95A}"/>
    <cellStyle name="40% - Accent4 4 3 3" xfId="5413" xr:uid="{00000000-0005-0000-0000-000022060000}"/>
    <cellStyle name="40% - Accent4 4 3 3 2" xfId="13842" xr:uid="{F9BFC674-88A8-4A22-8BE3-8ECC52941006}"/>
    <cellStyle name="40% - Accent4 4 3 4" xfId="9624" xr:uid="{3CEF6F2A-50B5-4F0A-BF06-D6E5B4E1D2BA}"/>
    <cellStyle name="40% - Accent4 4 4" xfId="1517" xr:uid="{00000000-0005-0000-0000-000023060000}"/>
    <cellStyle name="40% - Accent4 4 4 2" xfId="3747" xr:uid="{00000000-0005-0000-0000-000024060000}"/>
    <cellStyle name="40% - Accent4 4 4 2 2" xfId="7971" xr:uid="{00000000-0005-0000-0000-000025060000}"/>
    <cellStyle name="40% - Accent4 4 4 2 2 2" xfId="16400" xr:uid="{5A220EE1-54E8-44D3-9960-C1A80460C4C3}"/>
    <cellStyle name="40% - Accent4 4 4 2 3" xfId="12182" xr:uid="{3B9C5F7D-8BD3-4BAB-8D3A-8335957BC37A}"/>
    <cellStyle name="40% - Accent4 4 4 3" xfId="5826" xr:uid="{00000000-0005-0000-0000-000026060000}"/>
    <cellStyle name="40% - Accent4 4 4 3 2" xfId="14255" xr:uid="{ACB2ED35-6D65-4EA3-816F-1CB9E381E662}"/>
    <cellStyle name="40% - Accent4 4 4 4" xfId="10037" xr:uid="{6B9DD619-E3A4-4A30-85BC-2664A4AFC65F}"/>
    <cellStyle name="40% - Accent4 4 5" xfId="1931" xr:uid="{00000000-0005-0000-0000-000027060000}"/>
    <cellStyle name="40% - Accent4 4 5 2" xfId="4160" xr:uid="{00000000-0005-0000-0000-000028060000}"/>
    <cellStyle name="40% - Accent4 4 5 2 2" xfId="8384" xr:uid="{00000000-0005-0000-0000-000029060000}"/>
    <cellStyle name="40% - Accent4 4 5 2 2 2" xfId="16813" xr:uid="{A973D9B5-8B17-448A-810B-91297097C917}"/>
    <cellStyle name="40% - Accent4 4 5 2 3" xfId="12595" xr:uid="{81316A40-F13C-49D1-B1BD-C10576D0D16B}"/>
    <cellStyle name="40% - Accent4 4 5 3" xfId="6239" xr:uid="{00000000-0005-0000-0000-00002A060000}"/>
    <cellStyle name="40% - Accent4 4 5 3 2" xfId="14668" xr:uid="{719F585D-9AEF-4A90-BED8-49AABAD0660D}"/>
    <cellStyle name="40% - Accent4 4 5 4" xfId="10450" xr:uid="{431B99D6-0D40-403B-9BB8-C07853A81564}"/>
    <cellStyle name="40% - Accent4 4 6" xfId="2344" xr:uid="{00000000-0005-0000-0000-00002B060000}"/>
    <cellStyle name="40% - Accent4 4 6 2" xfId="6652" xr:uid="{00000000-0005-0000-0000-00002C060000}"/>
    <cellStyle name="40% - Accent4 4 6 2 2" xfId="15081" xr:uid="{AE150F78-32D9-4612-A6C5-698553F05F03}"/>
    <cellStyle name="40% - Accent4 4 6 3" xfId="10863" xr:uid="{4026695E-C909-4CA5-A6E4-3563A9624498}"/>
    <cellStyle name="40% - Accent4 4 7" xfId="4586" xr:uid="{00000000-0005-0000-0000-00002D060000}"/>
    <cellStyle name="40% - Accent4 4 7 2" xfId="13015" xr:uid="{99C68798-3044-4ED5-8877-E9D25754477C}"/>
    <cellStyle name="40% - Accent4 4 8" xfId="8797" xr:uid="{A94FF225-B6F8-46E1-902A-BA07A894C49A}"/>
    <cellStyle name="40% - Accent4 5" xfId="643" xr:uid="{00000000-0005-0000-0000-00002E060000}"/>
    <cellStyle name="40% - Accent4 5 2" xfId="2914" xr:uid="{00000000-0005-0000-0000-00002F060000}"/>
    <cellStyle name="40% - Accent4 5 2 2" xfId="7138" xr:uid="{00000000-0005-0000-0000-000030060000}"/>
    <cellStyle name="40% - Accent4 5 2 2 2" xfId="15567" xr:uid="{3DC82D8C-779F-4D52-80F4-DD8DA8862525}"/>
    <cellStyle name="40% - Accent4 5 2 3" xfId="11349" xr:uid="{41C777C9-9097-43E7-9029-063A54A12950}"/>
    <cellStyle name="40% - Accent4 5 3" xfId="4993" xr:uid="{00000000-0005-0000-0000-000031060000}"/>
    <cellStyle name="40% - Accent4 5 3 2" xfId="13422" xr:uid="{F1C646D4-24F2-457F-82A9-837AF5D86854}"/>
    <cellStyle name="40% - Accent4 5 4" xfId="9204" xr:uid="{0DEFE047-CAC6-4587-9117-5227B6E4EE56}"/>
    <cellStyle name="40% - Accent4 6" xfId="1096" xr:uid="{00000000-0005-0000-0000-000032060000}"/>
    <cellStyle name="40% - Accent4 6 2" xfId="3327" xr:uid="{00000000-0005-0000-0000-000033060000}"/>
    <cellStyle name="40% - Accent4 6 2 2" xfId="7551" xr:uid="{00000000-0005-0000-0000-000034060000}"/>
    <cellStyle name="40% - Accent4 6 2 2 2" xfId="15980" xr:uid="{44B87066-C0E8-4E3D-8C2B-05AF81C0168B}"/>
    <cellStyle name="40% - Accent4 6 2 3" xfId="11762" xr:uid="{11DFF102-20B1-4A00-81BD-693D9CCE952A}"/>
    <cellStyle name="40% - Accent4 6 3" xfId="5406" xr:uid="{00000000-0005-0000-0000-000035060000}"/>
    <cellStyle name="40% - Accent4 6 3 2" xfId="13835" xr:uid="{0756678C-14B4-4304-92A3-8D0D3BFA6931}"/>
    <cellStyle name="40% - Accent4 6 4" xfId="9617" xr:uid="{F4996C25-9253-413F-ABDC-17AAF1AF60F0}"/>
    <cellStyle name="40% - Accent4 7" xfId="1510" xr:uid="{00000000-0005-0000-0000-000036060000}"/>
    <cellStyle name="40% - Accent4 7 2" xfId="3740" xr:uid="{00000000-0005-0000-0000-000037060000}"/>
    <cellStyle name="40% - Accent4 7 2 2" xfId="7964" xr:uid="{00000000-0005-0000-0000-000038060000}"/>
    <cellStyle name="40% - Accent4 7 2 2 2" xfId="16393" xr:uid="{A1B6D445-8FBA-4809-9317-8E66BAE7CCA4}"/>
    <cellStyle name="40% - Accent4 7 2 3" xfId="12175" xr:uid="{5CE817B7-2C55-4A0C-92D3-F92A2E2350CB}"/>
    <cellStyle name="40% - Accent4 7 3" xfId="5819" xr:uid="{00000000-0005-0000-0000-000039060000}"/>
    <cellStyle name="40% - Accent4 7 3 2" xfId="14248" xr:uid="{7876E038-35AA-45A4-AA92-E10B5F2A535C}"/>
    <cellStyle name="40% - Accent4 7 4" xfId="10030" xr:uid="{B62CE4F2-84CF-4647-AE3D-773606C1A9A7}"/>
    <cellStyle name="40% - Accent4 8" xfId="1924" xr:uid="{00000000-0005-0000-0000-00003A060000}"/>
    <cellStyle name="40% - Accent4 8 2" xfId="4153" xr:uid="{00000000-0005-0000-0000-00003B060000}"/>
    <cellStyle name="40% - Accent4 8 2 2" xfId="8377" xr:uid="{00000000-0005-0000-0000-00003C060000}"/>
    <cellStyle name="40% - Accent4 8 2 2 2" xfId="16806" xr:uid="{A08F5685-4300-4CC4-B043-9D82E4E958DB}"/>
    <cellStyle name="40% - Accent4 8 2 3" xfId="12588" xr:uid="{0DB3AFBA-A3B4-4F70-ADB8-B6F7402E941D}"/>
    <cellStyle name="40% - Accent4 8 3" xfId="6232" xr:uid="{00000000-0005-0000-0000-00003D060000}"/>
    <cellStyle name="40% - Accent4 8 3 2" xfId="14661" xr:uid="{8CC398D5-C412-4D30-9C32-A737C09ADB65}"/>
    <cellStyle name="40% - Accent4 8 4" xfId="10443" xr:uid="{D9121051-4328-4E62-A7E1-CA93C30D41F5}"/>
    <cellStyle name="40% - Accent4 9" xfId="2337" xr:uid="{00000000-0005-0000-0000-00003E060000}"/>
    <cellStyle name="40% - Accent4 9 2" xfId="6645" xr:uid="{00000000-0005-0000-0000-00003F060000}"/>
    <cellStyle name="40% - Accent4 9 2 2" xfId="15074" xr:uid="{B788802C-2A9F-4EC9-995A-7340250C20F4}"/>
    <cellStyle name="40% - Accent4 9 3" xfId="10856" xr:uid="{DE3200E9-7F67-4273-BCE2-8EB2936F7062}"/>
    <cellStyle name="40% - Accent5" xfId="81" builtinId="47" customBuiltin="1"/>
    <cellStyle name="40% - Accent5 10" xfId="4587" xr:uid="{00000000-0005-0000-0000-000041060000}"/>
    <cellStyle name="40% - Accent5 10 2" xfId="13016" xr:uid="{ADC3DCF8-EF45-4711-9D52-F8720F38E602}"/>
    <cellStyle name="40% - Accent5 11" xfId="8798" xr:uid="{42F6B593-4816-48BE-B121-0322EF514B38}"/>
    <cellStyle name="40% - Accent5 2" xfId="82" xr:uid="{00000000-0005-0000-0000-000042060000}"/>
    <cellStyle name="40% - Accent5 2 10" xfId="8799" xr:uid="{0C42A736-A4CF-4E2D-B588-BA0B812EBC06}"/>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2 2" xfId="15578" xr:uid="{6C123BA6-E5BA-4B5E-9B78-9C14719866CB}"/>
    <cellStyle name="40% - Accent5 2 2 2 2 2 3" xfId="11360" xr:uid="{52C40B50-4FF9-4C01-BC39-6E8F38BC846F}"/>
    <cellStyle name="40% - Accent5 2 2 2 2 3" xfId="5004" xr:uid="{00000000-0005-0000-0000-000048060000}"/>
    <cellStyle name="40% - Accent5 2 2 2 2 3 2" xfId="13433" xr:uid="{6D3EA92E-745E-4358-9311-A9D74EEF993E}"/>
    <cellStyle name="40% - Accent5 2 2 2 2 4" xfId="9215" xr:uid="{336D6DEF-F096-400A-A9A3-A76B78B56E75}"/>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2 2" xfId="15991" xr:uid="{84DF6F16-63CD-4600-9BEF-94BF26FBA8FE}"/>
    <cellStyle name="40% - Accent5 2 2 2 3 2 3" xfId="11773" xr:uid="{A817D4CF-D95A-464D-A780-DCBF808202FF}"/>
    <cellStyle name="40% - Accent5 2 2 2 3 3" xfId="5417" xr:uid="{00000000-0005-0000-0000-00004C060000}"/>
    <cellStyle name="40% - Accent5 2 2 2 3 3 2" xfId="13846" xr:uid="{E4AF4330-DB1C-451B-AA4D-C5F1D11B118F}"/>
    <cellStyle name="40% - Accent5 2 2 2 3 4" xfId="9628" xr:uid="{E8CD1548-73AB-40B2-BD7B-2034428BD734}"/>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2 2" xfId="16404" xr:uid="{B4397F6C-18C8-4774-AEDE-AC05E825D85F}"/>
    <cellStyle name="40% - Accent5 2 2 2 4 2 3" xfId="12186" xr:uid="{CDE3CD17-673E-4675-8A9E-4216B6EEF1E1}"/>
    <cellStyle name="40% - Accent5 2 2 2 4 3" xfId="5830" xr:uid="{00000000-0005-0000-0000-000050060000}"/>
    <cellStyle name="40% - Accent5 2 2 2 4 3 2" xfId="14259" xr:uid="{8885EA51-91C1-47B5-8788-DA939F459B26}"/>
    <cellStyle name="40% - Accent5 2 2 2 4 4" xfId="10041" xr:uid="{3D15B4B5-AC3F-4950-B706-9BD842C8903B}"/>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2 2" xfId="16817" xr:uid="{30C9EB63-0E28-4485-AD21-B22E4D81D24B}"/>
    <cellStyle name="40% - Accent5 2 2 2 5 2 3" xfId="12599" xr:uid="{E836298F-525C-4074-9FFC-3634B1B9EA87}"/>
    <cellStyle name="40% - Accent5 2 2 2 5 3" xfId="6243" xr:uid="{00000000-0005-0000-0000-000054060000}"/>
    <cellStyle name="40% - Accent5 2 2 2 5 3 2" xfId="14672" xr:uid="{A6FF85B8-8373-4ACE-A42D-6B51C9CAE018}"/>
    <cellStyle name="40% - Accent5 2 2 2 5 4" xfId="10454" xr:uid="{4A298345-5026-449A-BA69-D55E8A308450}"/>
    <cellStyle name="40% - Accent5 2 2 2 6" xfId="2348" xr:uid="{00000000-0005-0000-0000-000055060000}"/>
    <cellStyle name="40% - Accent5 2 2 2 6 2" xfId="6656" xr:uid="{00000000-0005-0000-0000-000056060000}"/>
    <cellStyle name="40% - Accent5 2 2 2 6 2 2" xfId="15085" xr:uid="{273F45F3-648F-43E8-A65D-A72100F80B6A}"/>
    <cellStyle name="40% - Accent5 2 2 2 6 3" xfId="10867" xr:uid="{F95354AD-557E-4A75-A62C-7F99A562E7B7}"/>
    <cellStyle name="40% - Accent5 2 2 2 7" xfId="4590" xr:uid="{00000000-0005-0000-0000-000057060000}"/>
    <cellStyle name="40% - Accent5 2 2 2 7 2" xfId="13019" xr:uid="{7F2838A5-3144-4272-B559-C4FD82BE6103}"/>
    <cellStyle name="40% - Accent5 2 2 2 8" xfId="8801" xr:uid="{3A92BFE7-3A37-4F9E-893B-4D5438CAA532}"/>
    <cellStyle name="40% - Accent5 2 2 3" xfId="653" xr:uid="{00000000-0005-0000-0000-000058060000}"/>
    <cellStyle name="40% - Accent5 2 2 3 2" xfId="2924" xr:uid="{00000000-0005-0000-0000-000059060000}"/>
    <cellStyle name="40% - Accent5 2 2 3 2 2" xfId="7148" xr:uid="{00000000-0005-0000-0000-00005A060000}"/>
    <cellStyle name="40% - Accent5 2 2 3 2 2 2" xfId="15577" xr:uid="{BA5A2F5E-D541-4680-8038-B79B361AC010}"/>
    <cellStyle name="40% - Accent5 2 2 3 2 3" xfId="11359" xr:uid="{E4EAA494-238C-470E-9D44-6BBB510ADBD0}"/>
    <cellStyle name="40% - Accent5 2 2 3 3" xfId="5003" xr:uid="{00000000-0005-0000-0000-00005B060000}"/>
    <cellStyle name="40% - Accent5 2 2 3 3 2" xfId="13432" xr:uid="{ECC45576-64B2-4D11-A905-E27441B94F3A}"/>
    <cellStyle name="40% - Accent5 2 2 3 4" xfId="9214" xr:uid="{EB1F4795-F7F9-4939-B08A-344EC65B587A}"/>
    <cellStyle name="40% - Accent5 2 2 4" xfId="1106" xr:uid="{00000000-0005-0000-0000-00005C060000}"/>
    <cellStyle name="40% - Accent5 2 2 4 2" xfId="3337" xr:uid="{00000000-0005-0000-0000-00005D060000}"/>
    <cellStyle name="40% - Accent5 2 2 4 2 2" xfId="7561" xr:uid="{00000000-0005-0000-0000-00005E060000}"/>
    <cellStyle name="40% - Accent5 2 2 4 2 2 2" xfId="15990" xr:uid="{61533ACF-57EC-4A12-B660-398B631D071D}"/>
    <cellStyle name="40% - Accent5 2 2 4 2 3" xfId="11772" xr:uid="{5EC7FD16-03E3-417C-9278-27AB1FA55C96}"/>
    <cellStyle name="40% - Accent5 2 2 4 3" xfId="5416" xr:uid="{00000000-0005-0000-0000-00005F060000}"/>
    <cellStyle name="40% - Accent5 2 2 4 3 2" xfId="13845" xr:uid="{B10FF0BB-CB07-42DB-A336-33200863E886}"/>
    <cellStyle name="40% - Accent5 2 2 4 4" xfId="9627" xr:uid="{7D2C216D-E62C-45CD-A8F3-0389019C9878}"/>
    <cellStyle name="40% - Accent5 2 2 5" xfId="1520" xr:uid="{00000000-0005-0000-0000-000060060000}"/>
    <cellStyle name="40% - Accent5 2 2 5 2" xfId="3750" xr:uid="{00000000-0005-0000-0000-000061060000}"/>
    <cellStyle name="40% - Accent5 2 2 5 2 2" xfId="7974" xr:uid="{00000000-0005-0000-0000-000062060000}"/>
    <cellStyle name="40% - Accent5 2 2 5 2 2 2" xfId="16403" xr:uid="{4B9CE284-2171-4A52-8EED-BCA55C6C46FB}"/>
    <cellStyle name="40% - Accent5 2 2 5 2 3" xfId="12185" xr:uid="{7E26E44C-1BE8-4B82-A7D1-8F1F9D72B057}"/>
    <cellStyle name="40% - Accent5 2 2 5 3" xfId="5829" xr:uid="{00000000-0005-0000-0000-000063060000}"/>
    <cellStyle name="40% - Accent5 2 2 5 3 2" xfId="14258" xr:uid="{37416A93-84A9-4EBF-81CF-0B474BBF2D2F}"/>
    <cellStyle name="40% - Accent5 2 2 5 4" xfId="10040" xr:uid="{1135B518-B780-4CB8-BA76-882DD2930145}"/>
    <cellStyle name="40% - Accent5 2 2 6" xfId="1934" xr:uid="{00000000-0005-0000-0000-000064060000}"/>
    <cellStyle name="40% - Accent5 2 2 6 2" xfId="4163" xr:uid="{00000000-0005-0000-0000-000065060000}"/>
    <cellStyle name="40% - Accent5 2 2 6 2 2" xfId="8387" xr:uid="{00000000-0005-0000-0000-000066060000}"/>
    <cellStyle name="40% - Accent5 2 2 6 2 2 2" xfId="16816" xr:uid="{D1985F9B-56BA-4282-A7CE-5B5B4F9D013C}"/>
    <cellStyle name="40% - Accent5 2 2 6 2 3" xfId="12598" xr:uid="{19903F59-7AC3-4054-B276-194024433A12}"/>
    <cellStyle name="40% - Accent5 2 2 6 3" xfId="6242" xr:uid="{00000000-0005-0000-0000-000067060000}"/>
    <cellStyle name="40% - Accent5 2 2 6 3 2" xfId="14671" xr:uid="{EBD715BC-1B7D-4575-A986-AA160CC5D57D}"/>
    <cellStyle name="40% - Accent5 2 2 6 4" xfId="10453" xr:uid="{11FAE06B-033E-40CB-A45C-0F6007323417}"/>
    <cellStyle name="40% - Accent5 2 2 7" xfId="2347" xr:uid="{00000000-0005-0000-0000-000068060000}"/>
    <cellStyle name="40% - Accent5 2 2 7 2" xfId="6655" xr:uid="{00000000-0005-0000-0000-000069060000}"/>
    <cellStyle name="40% - Accent5 2 2 7 2 2" xfId="15084" xr:uid="{FFF4D159-E50B-4795-BE88-BC1FEC2A212D}"/>
    <cellStyle name="40% - Accent5 2 2 7 3" xfId="10866" xr:uid="{2FF81A86-9460-4145-8AA1-FC3FAE30C538}"/>
    <cellStyle name="40% - Accent5 2 2 8" xfId="4589" xr:uid="{00000000-0005-0000-0000-00006A060000}"/>
    <cellStyle name="40% - Accent5 2 2 8 2" xfId="13018" xr:uid="{22B2136F-E7EB-486F-A9C1-4DCB2406BC4A}"/>
    <cellStyle name="40% - Accent5 2 2 9" xfId="8800" xr:uid="{53DCB78F-920D-46AC-B032-4704FD1DD193}"/>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2 2" xfId="15579" xr:uid="{DE0F1881-BEFF-483D-A1D4-4964F9E2FB48}"/>
    <cellStyle name="40% - Accent5 2 3 2 2 3" xfId="11361" xr:uid="{B9287261-D421-4A92-96F6-F72BEE0A6612}"/>
    <cellStyle name="40% - Accent5 2 3 2 3" xfId="5005" xr:uid="{00000000-0005-0000-0000-00006F060000}"/>
    <cellStyle name="40% - Accent5 2 3 2 3 2" xfId="13434" xr:uid="{F7904CDB-82E2-48AE-9E3F-315D141D04E7}"/>
    <cellStyle name="40% - Accent5 2 3 2 4" xfId="9216" xr:uid="{E7C9AD14-8AD3-4B6D-89EE-DDC1CD14B14B}"/>
    <cellStyle name="40% - Accent5 2 3 3" xfId="1108" xr:uid="{00000000-0005-0000-0000-000070060000}"/>
    <cellStyle name="40% - Accent5 2 3 3 2" xfId="3339" xr:uid="{00000000-0005-0000-0000-000071060000}"/>
    <cellStyle name="40% - Accent5 2 3 3 2 2" xfId="7563" xr:uid="{00000000-0005-0000-0000-000072060000}"/>
    <cellStyle name="40% - Accent5 2 3 3 2 2 2" xfId="15992" xr:uid="{439183E5-2DFA-415E-A084-B5E711411BEE}"/>
    <cellStyle name="40% - Accent5 2 3 3 2 3" xfId="11774" xr:uid="{60110E45-D853-4BA3-A541-0992FE7F3A18}"/>
    <cellStyle name="40% - Accent5 2 3 3 3" xfId="5418" xr:uid="{00000000-0005-0000-0000-000073060000}"/>
    <cellStyle name="40% - Accent5 2 3 3 3 2" xfId="13847" xr:uid="{A7BA3567-C916-4098-A79C-4067E693D8EC}"/>
    <cellStyle name="40% - Accent5 2 3 3 4" xfId="9629" xr:uid="{22FE19F9-142C-481E-95E3-8290621288DB}"/>
    <cellStyle name="40% - Accent5 2 3 4" xfId="1522" xr:uid="{00000000-0005-0000-0000-000074060000}"/>
    <cellStyle name="40% - Accent5 2 3 4 2" xfId="3752" xr:uid="{00000000-0005-0000-0000-000075060000}"/>
    <cellStyle name="40% - Accent5 2 3 4 2 2" xfId="7976" xr:uid="{00000000-0005-0000-0000-000076060000}"/>
    <cellStyle name="40% - Accent5 2 3 4 2 2 2" xfId="16405" xr:uid="{2972A392-C69B-49CA-AEE5-EB8BB08E07D1}"/>
    <cellStyle name="40% - Accent5 2 3 4 2 3" xfId="12187" xr:uid="{5646EF2C-6A46-4292-B4A6-F2779AAC5AB9}"/>
    <cellStyle name="40% - Accent5 2 3 4 3" xfId="5831" xr:uid="{00000000-0005-0000-0000-000077060000}"/>
    <cellStyle name="40% - Accent5 2 3 4 3 2" xfId="14260" xr:uid="{E851B7D7-7533-4319-B71A-7C864447F178}"/>
    <cellStyle name="40% - Accent5 2 3 4 4" xfId="10042" xr:uid="{7623FACC-9E4D-43C6-9D72-1B943B4F12EE}"/>
    <cellStyle name="40% - Accent5 2 3 5" xfId="1936" xr:uid="{00000000-0005-0000-0000-000078060000}"/>
    <cellStyle name="40% - Accent5 2 3 5 2" xfId="4165" xr:uid="{00000000-0005-0000-0000-000079060000}"/>
    <cellStyle name="40% - Accent5 2 3 5 2 2" xfId="8389" xr:uid="{00000000-0005-0000-0000-00007A060000}"/>
    <cellStyle name="40% - Accent5 2 3 5 2 2 2" xfId="16818" xr:uid="{A66A5DC5-9241-4F5A-A7B3-71014821E800}"/>
    <cellStyle name="40% - Accent5 2 3 5 2 3" xfId="12600" xr:uid="{B966629A-5E9C-4FCB-9877-0DEA2992F231}"/>
    <cellStyle name="40% - Accent5 2 3 5 3" xfId="6244" xr:uid="{00000000-0005-0000-0000-00007B060000}"/>
    <cellStyle name="40% - Accent5 2 3 5 3 2" xfId="14673" xr:uid="{4D47B704-D6B9-464D-BE0D-8BE22DFEA9E1}"/>
    <cellStyle name="40% - Accent5 2 3 5 4" xfId="10455" xr:uid="{67DF968C-F21B-4F9B-94BF-4BC907D24BF3}"/>
    <cellStyle name="40% - Accent5 2 3 6" xfId="2349" xr:uid="{00000000-0005-0000-0000-00007C060000}"/>
    <cellStyle name="40% - Accent5 2 3 6 2" xfId="6657" xr:uid="{00000000-0005-0000-0000-00007D060000}"/>
    <cellStyle name="40% - Accent5 2 3 6 2 2" xfId="15086" xr:uid="{7814B576-FAA7-4093-BFEF-C48F77742134}"/>
    <cellStyle name="40% - Accent5 2 3 6 3" xfId="10868" xr:uid="{6DAEA9A8-1585-44CA-9F8E-C4FE00935FA8}"/>
    <cellStyle name="40% - Accent5 2 3 7" xfId="4591" xr:uid="{00000000-0005-0000-0000-00007E060000}"/>
    <cellStyle name="40% - Accent5 2 3 7 2" xfId="13020" xr:uid="{0A099680-2A6E-4454-AB2A-A2F6D29A825E}"/>
    <cellStyle name="40% - Accent5 2 3 8" xfId="8802" xr:uid="{698B19B4-B79A-4C32-B580-C30D9A9BACFA}"/>
    <cellStyle name="40% - Accent5 2 4" xfId="652" xr:uid="{00000000-0005-0000-0000-00007F060000}"/>
    <cellStyle name="40% - Accent5 2 4 2" xfId="2923" xr:uid="{00000000-0005-0000-0000-000080060000}"/>
    <cellStyle name="40% - Accent5 2 4 2 2" xfId="7147" xr:uid="{00000000-0005-0000-0000-000081060000}"/>
    <cellStyle name="40% - Accent5 2 4 2 2 2" xfId="15576" xr:uid="{8B3DCE6D-8E21-4D8B-B82A-984D62B095A4}"/>
    <cellStyle name="40% - Accent5 2 4 2 3" xfId="11358" xr:uid="{7BD4F4C8-6777-424C-9CDF-AB665E784D24}"/>
    <cellStyle name="40% - Accent5 2 4 3" xfId="5002" xr:uid="{00000000-0005-0000-0000-000082060000}"/>
    <cellStyle name="40% - Accent5 2 4 3 2" xfId="13431" xr:uid="{AAAD580D-CDC8-4802-80BF-8DA7A29C602E}"/>
    <cellStyle name="40% - Accent5 2 4 4" xfId="9213" xr:uid="{B013EF0A-E241-4096-B899-FDA3DE26F047}"/>
    <cellStyle name="40% - Accent5 2 5" xfId="1105" xr:uid="{00000000-0005-0000-0000-000083060000}"/>
    <cellStyle name="40% - Accent5 2 5 2" xfId="3336" xr:uid="{00000000-0005-0000-0000-000084060000}"/>
    <cellStyle name="40% - Accent5 2 5 2 2" xfId="7560" xr:uid="{00000000-0005-0000-0000-000085060000}"/>
    <cellStyle name="40% - Accent5 2 5 2 2 2" xfId="15989" xr:uid="{FB26BE7A-3AAE-4AB5-B9F3-746A8C1726B0}"/>
    <cellStyle name="40% - Accent5 2 5 2 3" xfId="11771" xr:uid="{54D0EF29-E406-46F3-A296-0845B3D5300E}"/>
    <cellStyle name="40% - Accent5 2 5 3" xfId="5415" xr:uid="{00000000-0005-0000-0000-000086060000}"/>
    <cellStyle name="40% - Accent5 2 5 3 2" xfId="13844" xr:uid="{77B23FBC-0180-4001-B256-05FA2EBD1426}"/>
    <cellStyle name="40% - Accent5 2 5 4" xfId="9626" xr:uid="{D6103A5C-06F7-472E-A2FA-D783F077DBA5}"/>
    <cellStyle name="40% - Accent5 2 6" xfId="1519" xr:uid="{00000000-0005-0000-0000-000087060000}"/>
    <cellStyle name="40% - Accent5 2 6 2" xfId="3749" xr:uid="{00000000-0005-0000-0000-000088060000}"/>
    <cellStyle name="40% - Accent5 2 6 2 2" xfId="7973" xr:uid="{00000000-0005-0000-0000-000089060000}"/>
    <cellStyle name="40% - Accent5 2 6 2 2 2" xfId="16402" xr:uid="{8F7FEED5-F167-4302-B6E8-F842C2EC01A6}"/>
    <cellStyle name="40% - Accent5 2 6 2 3" xfId="12184" xr:uid="{7FC17B82-E613-4308-AC07-A6CCF977F4F2}"/>
    <cellStyle name="40% - Accent5 2 6 3" xfId="5828" xr:uid="{00000000-0005-0000-0000-00008A060000}"/>
    <cellStyle name="40% - Accent5 2 6 3 2" xfId="14257" xr:uid="{8707522F-66AB-4792-8810-8A0A9AD023A5}"/>
    <cellStyle name="40% - Accent5 2 6 4" xfId="10039" xr:uid="{F614D67F-45C2-498F-AA33-38A62F6C2CDF}"/>
    <cellStyle name="40% - Accent5 2 7" xfId="1933" xr:uid="{00000000-0005-0000-0000-00008B060000}"/>
    <cellStyle name="40% - Accent5 2 7 2" xfId="4162" xr:uid="{00000000-0005-0000-0000-00008C060000}"/>
    <cellStyle name="40% - Accent5 2 7 2 2" xfId="8386" xr:uid="{00000000-0005-0000-0000-00008D060000}"/>
    <cellStyle name="40% - Accent5 2 7 2 2 2" xfId="16815" xr:uid="{81E3293D-1F6F-45A9-A268-B201B1682F40}"/>
    <cellStyle name="40% - Accent5 2 7 2 3" xfId="12597" xr:uid="{5D79C8C9-7A8B-4D07-977E-F61F88283D4D}"/>
    <cellStyle name="40% - Accent5 2 7 3" xfId="6241" xr:uid="{00000000-0005-0000-0000-00008E060000}"/>
    <cellStyle name="40% - Accent5 2 7 3 2" xfId="14670" xr:uid="{C1334344-8DBE-49DF-9B4B-F54896E06AFF}"/>
    <cellStyle name="40% - Accent5 2 7 4" xfId="10452" xr:uid="{41B771DE-67A6-4B10-B2BD-B0F50904574C}"/>
    <cellStyle name="40% - Accent5 2 8" xfId="2346" xr:uid="{00000000-0005-0000-0000-00008F060000}"/>
    <cellStyle name="40% - Accent5 2 8 2" xfId="6654" xr:uid="{00000000-0005-0000-0000-000090060000}"/>
    <cellStyle name="40% - Accent5 2 8 2 2" xfId="15083" xr:uid="{7C16E34B-B834-488F-BCDC-9E6947912644}"/>
    <cellStyle name="40% - Accent5 2 8 3" xfId="10865" xr:uid="{B0611559-0F97-4FAE-BE02-B7AA1064BBED}"/>
    <cellStyle name="40% - Accent5 2 9" xfId="4588" xr:uid="{00000000-0005-0000-0000-000091060000}"/>
    <cellStyle name="40% - Accent5 2 9 2" xfId="13017" xr:uid="{6E754905-3858-428C-8FA9-FEC0C47FB951}"/>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2 2" xfId="15581" xr:uid="{284D8C9D-AA11-48EB-B7F5-7E644EEB7E27}"/>
    <cellStyle name="40% - Accent5 3 2 2 2 3" xfId="11363" xr:uid="{B0D98BF5-A87A-4F83-8BA9-B72401E16233}"/>
    <cellStyle name="40% - Accent5 3 2 2 3" xfId="5007" xr:uid="{00000000-0005-0000-0000-000097060000}"/>
    <cellStyle name="40% - Accent5 3 2 2 3 2" xfId="13436" xr:uid="{2B4C7A46-76E3-44F6-A689-750CAE52E31F}"/>
    <cellStyle name="40% - Accent5 3 2 2 4" xfId="9218" xr:uid="{732A4618-0D72-454D-9287-29D2C61C2D57}"/>
    <cellStyle name="40% - Accent5 3 2 3" xfId="1110" xr:uid="{00000000-0005-0000-0000-000098060000}"/>
    <cellStyle name="40% - Accent5 3 2 3 2" xfId="3341" xr:uid="{00000000-0005-0000-0000-000099060000}"/>
    <cellStyle name="40% - Accent5 3 2 3 2 2" xfId="7565" xr:uid="{00000000-0005-0000-0000-00009A060000}"/>
    <cellStyle name="40% - Accent5 3 2 3 2 2 2" xfId="15994" xr:uid="{4062F9B4-61B2-47A7-A574-35CBA7FBD5A3}"/>
    <cellStyle name="40% - Accent5 3 2 3 2 3" xfId="11776" xr:uid="{1FA4EA01-3128-40AD-A7D1-613EEDB28DD3}"/>
    <cellStyle name="40% - Accent5 3 2 3 3" xfId="5420" xr:uid="{00000000-0005-0000-0000-00009B060000}"/>
    <cellStyle name="40% - Accent5 3 2 3 3 2" xfId="13849" xr:uid="{F9540C5F-A6D4-4DE2-BDBC-6CA07EFA58E2}"/>
    <cellStyle name="40% - Accent5 3 2 3 4" xfId="9631" xr:uid="{DA7FD61D-470C-4505-A267-9C1EDE85D509}"/>
    <cellStyle name="40% - Accent5 3 2 4" xfId="1524" xr:uid="{00000000-0005-0000-0000-00009C060000}"/>
    <cellStyle name="40% - Accent5 3 2 4 2" xfId="3754" xr:uid="{00000000-0005-0000-0000-00009D060000}"/>
    <cellStyle name="40% - Accent5 3 2 4 2 2" xfId="7978" xr:uid="{00000000-0005-0000-0000-00009E060000}"/>
    <cellStyle name="40% - Accent5 3 2 4 2 2 2" xfId="16407" xr:uid="{C5F47814-4F12-4EDD-A749-2ABBE5EE2669}"/>
    <cellStyle name="40% - Accent5 3 2 4 2 3" xfId="12189" xr:uid="{D2B4CB72-FD9D-4A53-B80B-9C93A7D3F68C}"/>
    <cellStyle name="40% - Accent5 3 2 4 3" xfId="5833" xr:uid="{00000000-0005-0000-0000-00009F060000}"/>
    <cellStyle name="40% - Accent5 3 2 4 3 2" xfId="14262" xr:uid="{BF2B0F28-D9BE-40E6-A136-609461F2A8FA}"/>
    <cellStyle name="40% - Accent5 3 2 4 4" xfId="10044" xr:uid="{83A339F0-08F1-4D0B-9E66-194160FEC177}"/>
    <cellStyle name="40% - Accent5 3 2 5" xfId="1938" xr:uid="{00000000-0005-0000-0000-0000A0060000}"/>
    <cellStyle name="40% - Accent5 3 2 5 2" xfId="4167" xr:uid="{00000000-0005-0000-0000-0000A1060000}"/>
    <cellStyle name="40% - Accent5 3 2 5 2 2" xfId="8391" xr:uid="{00000000-0005-0000-0000-0000A2060000}"/>
    <cellStyle name="40% - Accent5 3 2 5 2 2 2" xfId="16820" xr:uid="{FCC75345-C173-4553-A7CD-E71062E380E2}"/>
    <cellStyle name="40% - Accent5 3 2 5 2 3" xfId="12602" xr:uid="{78D38B85-229E-4137-86C9-090356A2D8D3}"/>
    <cellStyle name="40% - Accent5 3 2 5 3" xfId="6246" xr:uid="{00000000-0005-0000-0000-0000A3060000}"/>
    <cellStyle name="40% - Accent5 3 2 5 3 2" xfId="14675" xr:uid="{EC29BFAF-094D-4204-A453-9385267EA6B5}"/>
    <cellStyle name="40% - Accent5 3 2 5 4" xfId="10457" xr:uid="{3240D504-32A4-4D8A-8D11-E331E9ABBB6E}"/>
    <cellStyle name="40% - Accent5 3 2 6" xfId="2351" xr:uid="{00000000-0005-0000-0000-0000A4060000}"/>
    <cellStyle name="40% - Accent5 3 2 6 2" xfId="6659" xr:uid="{00000000-0005-0000-0000-0000A5060000}"/>
    <cellStyle name="40% - Accent5 3 2 6 2 2" xfId="15088" xr:uid="{E3D6F878-9967-4505-8FB2-DE99E830B13A}"/>
    <cellStyle name="40% - Accent5 3 2 6 3" xfId="10870" xr:uid="{049DC18C-5130-4783-B9A3-A93050EB5EEC}"/>
    <cellStyle name="40% - Accent5 3 2 7" xfId="4593" xr:uid="{00000000-0005-0000-0000-0000A6060000}"/>
    <cellStyle name="40% - Accent5 3 2 7 2" xfId="13022" xr:uid="{851C9CAA-2D75-499C-9A90-0DEDFF5BA480}"/>
    <cellStyle name="40% - Accent5 3 2 8" xfId="8804" xr:uid="{B71805E7-2ED1-4C31-BBB0-2514D0CF42C5}"/>
    <cellStyle name="40% - Accent5 3 3" xfId="656" xr:uid="{00000000-0005-0000-0000-0000A7060000}"/>
    <cellStyle name="40% - Accent5 3 3 2" xfId="2927" xr:uid="{00000000-0005-0000-0000-0000A8060000}"/>
    <cellStyle name="40% - Accent5 3 3 2 2" xfId="7151" xr:uid="{00000000-0005-0000-0000-0000A9060000}"/>
    <cellStyle name="40% - Accent5 3 3 2 2 2" xfId="15580" xr:uid="{9F6689B3-3778-4FF3-9335-2FCDA849A454}"/>
    <cellStyle name="40% - Accent5 3 3 2 3" xfId="11362" xr:uid="{97D1EB64-7B9E-4689-8D29-359664F0E987}"/>
    <cellStyle name="40% - Accent5 3 3 3" xfId="5006" xr:uid="{00000000-0005-0000-0000-0000AA060000}"/>
    <cellStyle name="40% - Accent5 3 3 3 2" xfId="13435" xr:uid="{9DBEF050-DEF5-495B-89CC-D32622473B12}"/>
    <cellStyle name="40% - Accent5 3 3 4" xfId="9217" xr:uid="{3162561E-D490-4E80-9D8E-FFEC7E606B90}"/>
    <cellStyle name="40% - Accent5 3 4" xfId="1109" xr:uid="{00000000-0005-0000-0000-0000AB060000}"/>
    <cellStyle name="40% - Accent5 3 4 2" xfId="3340" xr:uid="{00000000-0005-0000-0000-0000AC060000}"/>
    <cellStyle name="40% - Accent5 3 4 2 2" xfId="7564" xr:uid="{00000000-0005-0000-0000-0000AD060000}"/>
    <cellStyle name="40% - Accent5 3 4 2 2 2" xfId="15993" xr:uid="{8A2AC29F-B281-476E-BF27-57465D44834E}"/>
    <cellStyle name="40% - Accent5 3 4 2 3" xfId="11775" xr:uid="{8D899463-9F03-40E5-BB42-BE5FAD83DECE}"/>
    <cellStyle name="40% - Accent5 3 4 3" xfId="5419" xr:uid="{00000000-0005-0000-0000-0000AE060000}"/>
    <cellStyle name="40% - Accent5 3 4 3 2" xfId="13848" xr:uid="{3311C60F-4EDC-404A-B468-D419266B1B4C}"/>
    <cellStyle name="40% - Accent5 3 4 4" xfId="9630" xr:uid="{BD8B20C3-3BDE-46C8-86CE-226F2A9EE964}"/>
    <cellStyle name="40% - Accent5 3 5" xfId="1523" xr:uid="{00000000-0005-0000-0000-0000AF060000}"/>
    <cellStyle name="40% - Accent5 3 5 2" xfId="3753" xr:uid="{00000000-0005-0000-0000-0000B0060000}"/>
    <cellStyle name="40% - Accent5 3 5 2 2" xfId="7977" xr:uid="{00000000-0005-0000-0000-0000B1060000}"/>
    <cellStyle name="40% - Accent5 3 5 2 2 2" xfId="16406" xr:uid="{9CE65FE2-B55A-401C-9F68-6B54A1FC87E8}"/>
    <cellStyle name="40% - Accent5 3 5 2 3" xfId="12188" xr:uid="{61F75FD1-7F01-4B6A-A285-49E434113817}"/>
    <cellStyle name="40% - Accent5 3 5 3" xfId="5832" xr:uid="{00000000-0005-0000-0000-0000B2060000}"/>
    <cellStyle name="40% - Accent5 3 5 3 2" xfId="14261" xr:uid="{D814A8B1-12AD-4B00-BBB1-91C0C55A55F6}"/>
    <cellStyle name="40% - Accent5 3 5 4" xfId="10043" xr:uid="{FDD5A64B-CD88-44D6-A2C5-5293803629E8}"/>
    <cellStyle name="40% - Accent5 3 6" xfId="1937" xr:uid="{00000000-0005-0000-0000-0000B3060000}"/>
    <cellStyle name="40% - Accent5 3 6 2" xfId="4166" xr:uid="{00000000-0005-0000-0000-0000B4060000}"/>
    <cellStyle name="40% - Accent5 3 6 2 2" xfId="8390" xr:uid="{00000000-0005-0000-0000-0000B5060000}"/>
    <cellStyle name="40% - Accent5 3 6 2 2 2" xfId="16819" xr:uid="{18D46982-6E55-4005-9A63-A9B0BE8BBDED}"/>
    <cellStyle name="40% - Accent5 3 6 2 3" xfId="12601" xr:uid="{0A973C25-E4D0-4FF2-9502-C0269127A96C}"/>
    <cellStyle name="40% - Accent5 3 6 3" xfId="6245" xr:uid="{00000000-0005-0000-0000-0000B6060000}"/>
    <cellStyle name="40% - Accent5 3 6 3 2" xfId="14674" xr:uid="{C264EEA8-B7E6-4203-9995-6A530F73729B}"/>
    <cellStyle name="40% - Accent5 3 6 4" xfId="10456" xr:uid="{1B97D7B0-21B2-4D93-87CD-2FCE1EB86B92}"/>
    <cellStyle name="40% - Accent5 3 7" xfId="2350" xr:uid="{00000000-0005-0000-0000-0000B7060000}"/>
    <cellStyle name="40% - Accent5 3 7 2" xfId="6658" xr:uid="{00000000-0005-0000-0000-0000B8060000}"/>
    <cellStyle name="40% - Accent5 3 7 2 2" xfId="15087" xr:uid="{4F6BBD6B-3AD0-447E-81D2-0462E64707C8}"/>
    <cellStyle name="40% - Accent5 3 7 3" xfId="10869" xr:uid="{B9BFEE4E-6518-405F-BF75-0D157726618D}"/>
    <cellStyle name="40% - Accent5 3 8" xfId="4592" xr:uid="{00000000-0005-0000-0000-0000B9060000}"/>
    <cellStyle name="40% - Accent5 3 8 2" xfId="13021" xr:uid="{39E9707A-0E2D-4D68-A626-ED6F0809C548}"/>
    <cellStyle name="40% - Accent5 3 9" xfId="8803" xr:uid="{44FFF8EC-C9DA-43F8-AE6C-E666F4CBA303}"/>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2 2" xfId="15582" xr:uid="{833850EE-EE06-4262-988E-66CED2835920}"/>
    <cellStyle name="40% - Accent5 4 2 2 3" xfId="11364" xr:uid="{A4A13BDA-A052-48E5-B393-376945F80177}"/>
    <cellStyle name="40% - Accent5 4 2 3" xfId="5008" xr:uid="{00000000-0005-0000-0000-0000BE060000}"/>
    <cellStyle name="40% - Accent5 4 2 3 2" xfId="13437" xr:uid="{719A0775-3389-49AA-A789-C5C3B0368AA9}"/>
    <cellStyle name="40% - Accent5 4 2 4" xfId="9219" xr:uid="{0363F3A9-2F02-47AC-8BB7-20B01C1C40E0}"/>
    <cellStyle name="40% - Accent5 4 3" xfId="1111" xr:uid="{00000000-0005-0000-0000-0000BF060000}"/>
    <cellStyle name="40% - Accent5 4 3 2" xfId="3342" xr:uid="{00000000-0005-0000-0000-0000C0060000}"/>
    <cellStyle name="40% - Accent5 4 3 2 2" xfId="7566" xr:uid="{00000000-0005-0000-0000-0000C1060000}"/>
    <cellStyle name="40% - Accent5 4 3 2 2 2" xfId="15995" xr:uid="{8211C5AA-44B7-4A87-930A-81F5F3407EA8}"/>
    <cellStyle name="40% - Accent5 4 3 2 3" xfId="11777" xr:uid="{AA7AFA0A-61BF-43F9-9CC5-E47AAB573D5B}"/>
    <cellStyle name="40% - Accent5 4 3 3" xfId="5421" xr:uid="{00000000-0005-0000-0000-0000C2060000}"/>
    <cellStyle name="40% - Accent5 4 3 3 2" xfId="13850" xr:uid="{524354F1-660C-4057-8549-D6F266565ABB}"/>
    <cellStyle name="40% - Accent5 4 3 4" xfId="9632" xr:uid="{25618A36-B749-4117-8749-1B3CE74CB090}"/>
    <cellStyle name="40% - Accent5 4 4" xfId="1525" xr:uid="{00000000-0005-0000-0000-0000C3060000}"/>
    <cellStyle name="40% - Accent5 4 4 2" xfId="3755" xr:uid="{00000000-0005-0000-0000-0000C4060000}"/>
    <cellStyle name="40% - Accent5 4 4 2 2" xfId="7979" xr:uid="{00000000-0005-0000-0000-0000C5060000}"/>
    <cellStyle name="40% - Accent5 4 4 2 2 2" xfId="16408" xr:uid="{F5A239DB-1F28-4086-A0A6-D5547D92FE21}"/>
    <cellStyle name="40% - Accent5 4 4 2 3" xfId="12190" xr:uid="{D562C0B8-356C-4BE0-B66C-9527C752EC27}"/>
    <cellStyle name="40% - Accent5 4 4 3" xfId="5834" xr:uid="{00000000-0005-0000-0000-0000C6060000}"/>
    <cellStyle name="40% - Accent5 4 4 3 2" xfId="14263" xr:uid="{6E6B6BAD-AAD7-414D-8B06-A3C3BCD34C81}"/>
    <cellStyle name="40% - Accent5 4 4 4" xfId="10045" xr:uid="{86D69A79-7CA8-402C-83A6-CAABD361D8A2}"/>
    <cellStyle name="40% - Accent5 4 5" xfId="1939" xr:uid="{00000000-0005-0000-0000-0000C7060000}"/>
    <cellStyle name="40% - Accent5 4 5 2" xfId="4168" xr:uid="{00000000-0005-0000-0000-0000C8060000}"/>
    <cellStyle name="40% - Accent5 4 5 2 2" xfId="8392" xr:uid="{00000000-0005-0000-0000-0000C9060000}"/>
    <cellStyle name="40% - Accent5 4 5 2 2 2" xfId="16821" xr:uid="{5F5E7533-4860-4D91-970E-952A95FA1F71}"/>
    <cellStyle name="40% - Accent5 4 5 2 3" xfId="12603" xr:uid="{05827C41-E0BE-4BF7-8D05-560A44596B99}"/>
    <cellStyle name="40% - Accent5 4 5 3" xfId="6247" xr:uid="{00000000-0005-0000-0000-0000CA060000}"/>
    <cellStyle name="40% - Accent5 4 5 3 2" xfId="14676" xr:uid="{D5C2756F-D79F-4258-931B-9D6A63D22EDE}"/>
    <cellStyle name="40% - Accent5 4 5 4" xfId="10458" xr:uid="{213F85C2-7E8D-44C9-ADC9-ECAA2A34038E}"/>
    <cellStyle name="40% - Accent5 4 6" xfId="2352" xr:uid="{00000000-0005-0000-0000-0000CB060000}"/>
    <cellStyle name="40% - Accent5 4 6 2" xfId="6660" xr:uid="{00000000-0005-0000-0000-0000CC060000}"/>
    <cellStyle name="40% - Accent5 4 6 2 2" xfId="15089" xr:uid="{8288CB10-FAE9-4D0E-A573-0DFD1FAD781A}"/>
    <cellStyle name="40% - Accent5 4 6 3" xfId="10871" xr:uid="{9CA2AF78-9027-466C-8002-74B9ECACEEA7}"/>
    <cellStyle name="40% - Accent5 4 7" xfId="4594" xr:uid="{00000000-0005-0000-0000-0000CD060000}"/>
    <cellStyle name="40% - Accent5 4 7 2" xfId="13023" xr:uid="{6E8DF95E-9DCA-4FF4-829F-920A31EE13F2}"/>
    <cellStyle name="40% - Accent5 4 8" xfId="8805" xr:uid="{B07602D5-74AE-4E8E-A5A4-56E18E6C8DEC}"/>
    <cellStyle name="40% - Accent5 5" xfId="651" xr:uid="{00000000-0005-0000-0000-0000CE060000}"/>
    <cellStyle name="40% - Accent5 5 2" xfId="2922" xr:uid="{00000000-0005-0000-0000-0000CF060000}"/>
    <cellStyle name="40% - Accent5 5 2 2" xfId="7146" xr:uid="{00000000-0005-0000-0000-0000D0060000}"/>
    <cellStyle name="40% - Accent5 5 2 2 2" xfId="15575" xr:uid="{78FD735B-8890-4C34-9E27-A8F46243448C}"/>
    <cellStyle name="40% - Accent5 5 2 3" xfId="11357" xr:uid="{683904D2-69BC-4188-9CAB-52F7D9B91EC4}"/>
    <cellStyle name="40% - Accent5 5 3" xfId="5001" xr:uid="{00000000-0005-0000-0000-0000D1060000}"/>
    <cellStyle name="40% - Accent5 5 3 2" xfId="13430" xr:uid="{DA073C8A-09D7-470A-81DE-16A67AC9129B}"/>
    <cellStyle name="40% - Accent5 5 4" xfId="9212" xr:uid="{6415A3EB-C7B7-4883-AE3C-0DB5721A7B6F}"/>
    <cellStyle name="40% - Accent5 6" xfId="1104" xr:uid="{00000000-0005-0000-0000-0000D2060000}"/>
    <cellStyle name="40% - Accent5 6 2" xfId="3335" xr:uid="{00000000-0005-0000-0000-0000D3060000}"/>
    <cellStyle name="40% - Accent5 6 2 2" xfId="7559" xr:uid="{00000000-0005-0000-0000-0000D4060000}"/>
    <cellStyle name="40% - Accent5 6 2 2 2" xfId="15988" xr:uid="{3EF06C86-5E79-48AD-BFCC-B293AE7E962B}"/>
    <cellStyle name="40% - Accent5 6 2 3" xfId="11770" xr:uid="{F6535F5B-FD21-4D83-BB78-EE2715CEE865}"/>
    <cellStyle name="40% - Accent5 6 3" xfId="5414" xr:uid="{00000000-0005-0000-0000-0000D5060000}"/>
    <cellStyle name="40% - Accent5 6 3 2" xfId="13843" xr:uid="{E02566D2-E3FC-4C67-99FF-E594988B86FD}"/>
    <cellStyle name="40% - Accent5 6 4" xfId="9625" xr:uid="{2F37B0A5-AB14-4323-9089-FD061837397F}"/>
    <cellStyle name="40% - Accent5 7" xfId="1518" xr:uid="{00000000-0005-0000-0000-0000D6060000}"/>
    <cellStyle name="40% - Accent5 7 2" xfId="3748" xr:uid="{00000000-0005-0000-0000-0000D7060000}"/>
    <cellStyle name="40% - Accent5 7 2 2" xfId="7972" xr:uid="{00000000-0005-0000-0000-0000D8060000}"/>
    <cellStyle name="40% - Accent5 7 2 2 2" xfId="16401" xr:uid="{CB1D8131-F581-4BD1-85F6-F9F7ADA168CC}"/>
    <cellStyle name="40% - Accent5 7 2 3" xfId="12183" xr:uid="{A5CFDC2E-341A-4FF7-840F-415F66FB5CC7}"/>
    <cellStyle name="40% - Accent5 7 3" xfId="5827" xr:uid="{00000000-0005-0000-0000-0000D9060000}"/>
    <cellStyle name="40% - Accent5 7 3 2" xfId="14256" xr:uid="{553BF1BD-37F3-4D4D-8B00-4A3621512E2C}"/>
    <cellStyle name="40% - Accent5 7 4" xfId="10038" xr:uid="{ED68F77E-2240-48FF-97F5-FEFCA535D0E7}"/>
    <cellStyle name="40% - Accent5 8" xfId="1932" xr:uid="{00000000-0005-0000-0000-0000DA060000}"/>
    <cellStyle name="40% - Accent5 8 2" xfId="4161" xr:uid="{00000000-0005-0000-0000-0000DB060000}"/>
    <cellStyle name="40% - Accent5 8 2 2" xfId="8385" xr:uid="{00000000-0005-0000-0000-0000DC060000}"/>
    <cellStyle name="40% - Accent5 8 2 2 2" xfId="16814" xr:uid="{2AD2C8FE-0D40-4D05-9B1A-6F1BD4E7DF33}"/>
    <cellStyle name="40% - Accent5 8 2 3" xfId="12596" xr:uid="{D18A8BA3-73CD-4282-9A11-7B6FD2055201}"/>
    <cellStyle name="40% - Accent5 8 3" xfId="6240" xr:uid="{00000000-0005-0000-0000-0000DD060000}"/>
    <cellStyle name="40% - Accent5 8 3 2" xfId="14669" xr:uid="{1A334600-F4DC-4214-90A8-E16D33709569}"/>
    <cellStyle name="40% - Accent5 8 4" xfId="10451" xr:uid="{D5BF61DB-B20F-43E5-84F1-08E76A1CB736}"/>
    <cellStyle name="40% - Accent5 9" xfId="2345" xr:uid="{00000000-0005-0000-0000-0000DE060000}"/>
    <cellStyle name="40% - Accent5 9 2" xfId="6653" xr:uid="{00000000-0005-0000-0000-0000DF060000}"/>
    <cellStyle name="40% - Accent5 9 2 2" xfId="15082" xr:uid="{0CC30440-A35A-442A-8887-0E8906E4A40B}"/>
    <cellStyle name="40% - Accent5 9 3" xfId="10864" xr:uid="{A0D67EFB-9C25-4EAA-A594-8EFCFCC46CEE}"/>
    <cellStyle name="40% - Accent6" xfId="89" builtinId="51" customBuiltin="1"/>
    <cellStyle name="40% - Accent6 10" xfId="4595" xr:uid="{00000000-0005-0000-0000-0000E1060000}"/>
    <cellStyle name="40% - Accent6 10 2" xfId="13024" xr:uid="{E5124F40-8180-4888-976A-3CC174363C60}"/>
    <cellStyle name="40% - Accent6 11" xfId="8806" xr:uid="{6BD40FC4-B003-45CB-BB64-21001C77D9DC}"/>
    <cellStyle name="40% - Accent6 2" xfId="90" xr:uid="{00000000-0005-0000-0000-0000E2060000}"/>
    <cellStyle name="40% - Accent6 2 10" xfId="8807" xr:uid="{AFF9D71A-085F-4B47-8D84-BF7C05C1B6B4}"/>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2 2" xfId="15586" xr:uid="{A631F876-6134-4DEA-8445-F5EEE93DE6C8}"/>
    <cellStyle name="40% - Accent6 2 2 2 2 2 3" xfId="11368" xr:uid="{9CBC6B12-E4E3-44F1-9DD0-05F008886B9D}"/>
    <cellStyle name="40% - Accent6 2 2 2 2 3" xfId="5012" xr:uid="{00000000-0005-0000-0000-0000E8060000}"/>
    <cellStyle name="40% - Accent6 2 2 2 2 3 2" xfId="13441" xr:uid="{0D4DA755-5620-49C3-98FF-B1032DCECE64}"/>
    <cellStyle name="40% - Accent6 2 2 2 2 4" xfId="9223" xr:uid="{9E20AC0A-78CD-4A99-88F4-E564DA853E1D}"/>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2 2" xfId="15999" xr:uid="{0E791C59-7ADD-4CA0-A5D0-79AFC257E3B4}"/>
    <cellStyle name="40% - Accent6 2 2 2 3 2 3" xfId="11781" xr:uid="{DD28EBAE-079C-41A3-B264-3F887838BBF7}"/>
    <cellStyle name="40% - Accent6 2 2 2 3 3" xfId="5425" xr:uid="{00000000-0005-0000-0000-0000EC060000}"/>
    <cellStyle name="40% - Accent6 2 2 2 3 3 2" xfId="13854" xr:uid="{93333B97-FE6D-4A57-A007-13FE44F117CE}"/>
    <cellStyle name="40% - Accent6 2 2 2 3 4" xfId="9636" xr:uid="{479CC5EE-286E-4D51-B9F6-2C69279691A4}"/>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2 2" xfId="16412" xr:uid="{80940ABE-D81D-4055-B9B9-91FD87EB9F09}"/>
    <cellStyle name="40% - Accent6 2 2 2 4 2 3" xfId="12194" xr:uid="{EED73D2D-9FCD-40CB-B579-6AE09E60AE6C}"/>
    <cellStyle name="40% - Accent6 2 2 2 4 3" xfId="5838" xr:uid="{00000000-0005-0000-0000-0000F0060000}"/>
    <cellStyle name="40% - Accent6 2 2 2 4 3 2" xfId="14267" xr:uid="{E1288DBE-E0A9-4C00-A0E7-E7C6CB9A3A72}"/>
    <cellStyle name="40% - Accent6 2 2 2 4 4" xfId="10049" xr:uid="{B6F79AB9-B042-4CE1-9649-81A8BAD0BAFF}"/>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2 2" xfId="16825" xr:uid="{D753E57F-C3EF-4D2C-B7D1-C8B893771AEC}"/>
    <cellStyle name="40% - Accent6 2 2 2 5 2 3" xfId="12607" xr:uid="{B1476BC4-F5F9-479A-8BA6-618D59F57B93}"/>
    <cellStyle name="40% - Accent6 2 2 2 5 3" xfId="6251" xr:uid="{00000000-0005-0000-0000-0000F4060000}"/>
    <cellStyle name="40% - Accent6 2 2 2 5 3 2" xfId="14680" xr:uid="{60298409-98A6-4638-84BB-C32165C43C14}"/>
    <cellStyle name="40% - Accent6 2 2 2 5 4" xfId="10462" xr:uid="{7CB1241D-6570-4793-8B8B-045DA5345AB9}"/>
    <cellStyle name="40% - Accent6 2 2 2 6" xfId="2356" xr:uid="{00000000-0005-0000-0000-0000F5060000}"/>
    <cellStyle name="40% - Accent6 2 2 2 6 2" xfId="6664" xr:uid="{00000000-0005-0000-0000-0000F6060000}"/>
    <cellStyle name="40% - Accent6 2 2 2 6 2 2" xfId="15093" xr:uid="{1DD17EA3-306F-40D2-A750-ED795840174B}"/>
    <cellStyle name="40% - Accent6 2 2 2 6 3" xfId="10875" xr:uid="{1BF9B117-167C-4FF3-BDE9-8C73A10AFCCD}"/>
    <cellStyle name="40% - Accent6 2 2 2 7" xfId="4598" xr:uid="{00000000-0005-0000-0000-0000F7060000}"/>
    <cellStyle name="40% - Accent6 2 2 2 7 2" xfId="13027" xr:uid="{9A15C7C1-5AE5-4590-BE1E-863FCB25E7CC}"/>
    <cellStyle name="40% - Accent6 2 2 2 8" xfId="8809" xr:uid="{09377E8B-8AF8-4305-ACA6-BCBEE729A280}"/>
    <cellStyle name="40% - Accent6 2 2 3" xfId="661" xr:uid="{00000000-0005-0000-0000-0000F8060000}"/>
    <cellStyle name="40% - Accent6 2 2 3 2" xfId="2932" xr:uid="{00000000-0005-0000-0000-0000F9060000}"/>
    <cellStyle name="40% - Accent6 2 2 3 2 2" xfId="7156" xr:uid="{00000000-0005-0000-0000-0000FA060000}"/>
    <cellStyle name="40% - Accent6 2 2 3 2 2 2" xfId="15585" xr:uid="{025AF9D8-6DDF-44E9-B8EC-337CCE24CBB2}"/>
    <cellStyle name="40% - Accent6 2 2 3 2 3" xfId="11367" xr:uid="{7D2BFDFA-A6CC-4B6D-8196-490720672013}"/>
    <cellStyle name="40% - Accent6 2 2 3 3" xfId="5011" xr:uid="{00000000-0005-0000-0000-0000FB060000}"/>
    <cellStyle name="40% - Accent6 2 2 3 3 2" xfId="13440" xr:uid="{C91CDCB8-0416-4564-888C-CD342593CDD1}"/>
    <cellStyle name="40% - Accent6 2 2 3 4" xfId="9222" xr:uid="{BE7847CD-6A94-4CBD-BA9D-C1EC13C1BB85}"/>
    <cellStyle name="40% - Accent6 2 2 4" xfId="1114" xr:uid="{00000000-0005-0000-0000-0000FC060000}"/>
    <cellStyle name="40% - Accent6 2 2 4 2" xfId="3345" xr:uid="{00000000-0005-0000-0000-0000FD060000}"/>
    <cellStyle name="40% - Accent6 2 2 4 2 2" xfId="7569" xr:uid="{00000000-0005-0000-0000-0000FE060000}"/>
    <cellStyle name="40% - Accent6 2 2 4 2 2 2" xfId="15998" xr:uid="{3AC06DC5-A93E-4FEB-9E50-BA90CCF33281}"/>
    <cellStyle name="40% - Accent6 2 2 4 2 3" xfId="11780" xr:uid="{78E59845-E572-4E38-9641-2E16C30DDE3E}"/>
    <cellStyle name="40% - Accent6 2 2 4 3" xfId="5424" xr:uid="{00000000-0005-0000-0000-0000FF060000}"/>
    <cellStyle name="40% - Accent6 2 2 4 3 2" xfId="13853" xr:uid="{D1608570-AB97-4D18-8A97-7CB80CEA6797}"/>
    <cellStyle name="40% - Accent6 2 2 4 4" xfId="9635" xr:uid="{EA69975E-C1DD-45B5-AC53-0A20EA1AC25A}"/>
    <cellStyle name="40% - Accent6 2 2 5" xfId="1528" xr:uid="{00000000-0005-0000-0000-000000070000}"/>
    <cellStyle name="40% - Accent6 2 2 5 2" xfId="3758" xr:uid="{00000000-0005-0000-0000-000001070000}"/>
    <cellStyle name="40% - Accent6 2 2 5 2 2" xfId="7982" xr:uid="{00000000-0005-0000-0000-000002070000}"/>
    <cellStyle name="40% - Accent6 2 2 5 2 2 2" xfId="16411" xr:uid="{B8531426-AF29-4179-BAB1-6A212532C6E7}"/>
    <cellStyle name="40% - Accent6 2 2 5 2 3" xfId="12193" xr:uid="{41A24DF6-C5D6-4DCE-84D2-7AF1878F94DB}"/>
    <cellStyle name="40% - Accent6 2 2 5 3" xfId="5837" xr:uid="{00000000-0005-0000-0000-000003070000}"/>
    <cellStyle name="40% - Accent6 2 2 5 3 2" xfId="14266" xr:uid="{E696BA78-58C9-431C-9B03-21891BE00E77}"/>
    <cellStyle name="40% - Accent6 2 2 5 4" xfId="10048" xr:uid="{12D6DCA3-2E4A-468A-A802-D7BF458A3BFF}"/>
    <cellStyle name="40% - Accent6 2 2 6" xfId="1942" xr:uid="{00000000-0005-0000-0000-000004070000}"/>
    <cellStyle name="40% - Accent6 2 2 6 2" xfId="4171" xr:uid="{00000000-0005-0000-0000-000005070000}"/>
    <cellStyle name="40% - Accent6 2 2 6 2 2" xfId="8395" xr:uid="{00000000-0005-0000-0000-000006070000}"/>
    <cellStyle name="40% - Accent6 2 2 6 2 2 2" xfId="16824" xr:uid="{E17C3B37-0E4D-40A1-B468-63643D3CE5B8}"/>
    <cellStyle name="40% - Accent6 2 2 6 2 3" xfId="12606" xr:uid="{506BD697-A668-48ED-B2FD-F813D3537EA1}"/>
    <cellStyle name="40% - Accent6 2 2 6 3" xfId="6250" xr:uid="{00000000-0005-0000-0000-000007070000}"/>
    <cellStyle name="40% - Accent6 2 2 6 3 2" xfId="14679" xr:uid="{7B3E578C-B795-4274-BFDA-8BCA00C3FA82}"/>
    <cellStyle name="40% - Accent6 2 2 6 4" xfId="10461" xr:uid="{79EB16CF-99EA-41FD-BA45-5BDA77E17B23}"/>
    <cellStyle name="40% - Accent6 2 2 7" xfId="2355" xr:uid="{00000000-0005-0000-0000-000008070000}"/>
    <cellStyle name="40% - Accent6 2 2 7 2" xfId="6663" xr:uid="{00000000-0005-0000-0000-000009070000}"/>
    <cellStyle name="40% - Accent6 2 2 7 2 2" xfId="15092" xr:uid="{F5C16487-7CAD-4E79-96AE-A8C6997A34B8}"/>
    <cellStyle name="40% - Accent6 2 2 7 3" xfId="10874" xr:uid="{B0F2C8DD-D257-4F87-A786-1056D670638C}"/>
    <cellStyle name="40% - Accent6 2 2 8" xfId="4597" xr:uid="{00000000-0005-0000-0000-00000A070000}"/>
    <cellStyle name="40% - Accent6 2 2 8 2" xfId="13026" xr:uid="{69D6F5A5-4BDC-4CD1-9D79-E3C12F0EA37E}"/>
    <cellStyle name="40% - Accent6 2 2 9" xfId="8808" xr:uid="{5D16FFCA-DBB2-492E-833F-535047B5ACFA}"/>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2 2" xfId="15587" xr:uid="{D6F64B89-0A12-4FB4-ADD6-7B638081EA8C}"/>
    <cellStyle name="40% - Accent6 2 3 2 2 3" xfId="11369" xr:uid="{74C83781-2ABA-4826-A94B-4FA3DC84D456}"/>
    <cellStyle name="40% - Accent6 2 3 2 3" xfId="5013" xr:uid="{00000000-0005-0000-0000-00000F070000}"/>
    <cellStyle name="40% - Accent6 2 3 2 3 2" xfId="13442" xr:uid="{F23DFEC0-9898-4BAA-936A-0DF3BBB0B8BB}"/>
    <cellStyle name="40% - Accent6 2 3 2 4" xfId="9224" xr:uid="{DD29E917-870E-4091-9E77-C96628EC0614}"/>
    <cellStyle name="40% - Accent6 2 3 3" xfId="1116" xr:uid="{00000000-0005-0000-0000-000010070000}"/>
    <cellStyle name="40% - Accent6 2 3 3 2" xfId="3347" xr:uid="{00000000-0005-0000-0000-000011070000}"/>
    <cellStyle name="40% - Accent6 2 3 3 2 2" xfId="7571" xr:uid="{00000000-0005-0000-0000-000012070000}"/>
    <cellStyle name="40% - Accent6 2 3 3 2 2 2" xfId="16000" xr:uid="{CD807C82-D02C-4163-A415-9C4A76F80F01}"/>
    <cellStyle name="40% - Accent6 2 3 3 2 3" xfId="11782" xr:uid="{5EF83EB3-9E0B-4B8A-AB20-2C49C82FFC20}"/>
    <cellStyle name="40% - Accent6 2 3 3 3" xfId="5426" xr:uid="{00000000-0005-0000-0000-000013070000}"/>
    <cellStyle name="40% - Accent6 2 3 3 3 2" xfId="13855" xr:uid="{424CF73F-ABE1-40C0-9048-84F437E3CB49}"/>
    <cellStyle name="40% - Accent6 2 3 3 4" xfId="9637" xr:uid="{A0837FC7-791F-4D51-9E93-A2CB57589034}"/>
    <cellStyle name="40% - Accent6 2 3 4" xfId="1530" xr:uid="{00000000-0005-0000-0000-000014070000}"/>
    <cellStyle name="40% - Accent6 2 3 4 2" xfId="3760" xr:uid="{00000000-0005-0000-0000-000015070000}"/>
    <cellStyle name="40% - Accent6 2 3 4 2 2" xfId="7984" xr:uid="{00000000-0005-0000-0000-000016070000}"/>
    <cellStyle name="40% - Accent6 2 3 4 2 2 2" xfId="16413" xr:uid="{1A3B7F8E-981C-43ED-B983-87527F01F175}"/>
    <cellStyle name="40% - Accent6 2 3 4 2 3" xfId="12195" xr:uid="{5A898FA4-E9E0-4863-8CFF-4797C0DA0FCB}"/>
    <cellStyle name="40% - Accent6 2 3 4 3" xfId="5839" xr:uid="{00000000-0005-0000-0000-000017070000}"/>
    <cellStyle name="40% - Accent6 2 3 4 3 2" xfId="14268" xr:uid="{1E816E20-3C06-490B-875C-1FBE9AE40316}"/>
    <cellStyle name="40% - Accent6 2 3 4 4" xfId="10050" xr:uid="{1C6D0674-53C6-4B26-B7E3-B15B8F4985E8}"/>
    <cellStyle name="40% - Accent6 2 3 5" xfId="1944" xr:uid="{00000000-0005-0000-0000-000018070000}"/>
    <cellStyle name="40% - Accent6 2 3 5 2" xfId="4173" xr:uid="{00000000-0005-0000-0000-000019070000}"/>
    <cellStyle name="40% - Accent6 2 3 5 2 2" xfId="8397" xr:uid="{00000000-0005-0000-0000-00001A070000}"/>
    <cellStyle name="40% - Accent6 2 3 5 2 2 2" xfId="16826" xr:uid="{D2E90260-2A50-45CA-95B4-174DDA52D150}"/>
    <cellStyle name="40% - Accent6 2 3 5 2 3" xfId="12608" xr:uid="{5C0D58C9-2153-45A5-84FF-0C17D73D8C17}"/>
    <cellStyle name="40% - Accent6 2 3 5 3" xfId="6252" xr:uid="{00000000-0005-0000-0000-00001B070000}"/>
    <cellStyle name="40% - Accent6 2 3 5 3 2" xfId="14681" xr:uid="{D866A3EB-0017-448D-AFA1-3BC3CDB82F91}"/>
    <cellStyle name="40% - Accent6 2 3 5 4" xfId="10463" xr:uid="{2EEB8E8E-8A8E-4CC6-BCD3-CF818FB289AD}"/>
    <cellStyle name="40% - Accent6 2 3 6" xfId="2357" xr:uid="{00000000-0005-0000-0000-00001C070000}"/>
    <cellStyle name="40% - Accent6 2 3 6 2" xfId="6665" xr:uid="{00000000-0005-0000-0000-00001D070000}"/>
    <cellStyle name="40% - Accent6 2 3 6 2 2" xfId="15094" xr:uid="{DA8D277B-C6ED-49B8-87D2-97784CD197EF}"/>
    <cellStyle name="40% - Accent6 2 3 6 3" xfId="10876" xr:uid="{89C92310-1978-418F-8D9C-418B531D646D}"/>
    <cellStyle name="40% - Accent6 2 3 7" xfId="4599" xr:uid="{00000000-0005-0000-0000-00001E070000}"/>
    <cellStyle name="40% - Accent6 2 3 7 2" xfId="13028" xr:uid="{96628B46-71EA-4C0E-9B88-EAF7AA10DFE9}"/>
    <cellStyle name="40% - Accent6 2 3 8" xfId="8810" xr:uid="{79E7D007-35A6-4810-B0F6-0B95AB7EC8F9}"/>
    <cellStyle name="40% - Accent6 2 4" xfId="660" xr:uid="{00000000-0005-0000-0000-00001F070000}"/>
    <cellStyle name="40% - Accent6 2 4 2" xfId="2931" xr:uid="{00000000-0005-0000-0000-000020070000}"/>
    <cellStyle name="40% - Accent6 2 4 2 2" xfId="7155" xr:uid="{00000000-0005-0000-0000-000021070000}"/>
    <cellStyle name="40% - Accent6 2 4 2 2 2" xfId="15584" xr:uid="{8942B5C6-15C6-4F30-86C8-3BA16B742E67}"/>
    <cellStyle name="40% - Accent6 2 4 2 3" xfId="11366" xr:uid="{CD7DA76E-A914-406D-BAAB-2335BA17B502}"/>
    <cellStyle name="40% - Accent6 2 4 3" xfId="5010" xr:uid="{00000000-0005-0000-0000-000022070000}"/>
    <cellStyle name="40% - Accent6 2 4 3 2" xfId="13439" xr:uid="{3E6F627E-F0C9-44B2-A38D-6323A8E81AF6}"/>
    <cellStyle name="40% - Accent6 2 4 4" xfId="9221" xr:uid="{ED7D9BDF-B0B8-45A0-BF3F-12F148613E7F}"/>
    <cellStyle name="40% - Accent6 2 5" xfId="1113" xr:uid="{00000000-0005-0000-0000-000023070000}"/>
    <cellStyle name="40% - Accent6 2 5 2" xfId="3344" xr:uid="{00000000-0005-0000-0000-000024070000}"/>
    <cellStyle name="40% - Accent6 2 5 2 2" xfId="7568" xr:uid="{00000000-0005-0000-0000-000025070000}"/>
    <cellStyle name="40% - Accent6 2 5 2 2 2" xfId="15997" xr:uid="{B780E3EF-8D19-4F79-A265-08061AA051FB}"/>
    <cellStyle name="40% - Accent6 2 5 2 3" xfId="11779" xr:uid="{7CDD9618-E638-40EE-9FCD-9927AF77CAB4}"/>
    <cellStyle name="40% - Accent6 2 5 3" xfId="5423" xr:uid="{00000000-0005-0000-0000-000026070000}"/>
    <cellStyle name="40% - Accent6 2 5 3 2" xfId="13852" xr:uid="{98C4C9DA-9827-4FB9-9687-7FCC0B43C326}"/>
    <cellStyle name="40% - Accent6 2 5 4" xfId="9634" xr:uid="{3C76576B-CA9E-4105-97FB-486EC56DBC41}"/>
    <cellStyle name="40% - Accent6 2 6" xfId="1527" xr:uid="{00000000-0005-0000-0000-000027070000}"/>
    <cellStyle name="40% - Accent6 2 6 2" xfId="3757" xr:uid="{00000000-0005-0000-0000-000028070000}"/>
    <cellStyle name="40% - Accent6 2 6 2 2" xfId="7981" xr:uid="{00000000-0005-0000-0000-000029070000}"/>
    <cellStyle name="40% - Accent6 2 6 2 2 2" xfId="16410" xr:uid="{6AA36522-E992-4845-B11D-1B3F92F7A4CD}"/>
    <cellStyle name="40% - Accent6 2 6 2 3" xfId="12192" xr:uid="{585531A3-8603-4E92-BC9D-2BDDD2DF640E}"/>
    <cellStyle name="40% - Accent6 2 6 3" xfId="5836" xr:uid="{00000000-0005-0000-0000-00002A070000}"/>
    <cellStyle name="40% - Accent6 2 6 3 2" xfId="14265" xr:uid="{20D391E3-EEF6-4425-A425-BDADC3E7D2EB}"/>
    <cellStyle name="40% - Accent6 2 6 4" xfId="10047" xr:uid="{DFFA5377-6780-4CC2-9AD0-A40C92B62CF3}"/>
    <cellStyle name="40% - Accent6 2 7" xfId="1941" xr:uid="{00000000-0005-0000-0000-00002B070000}"/>
    <cellStyle name="40% - Accent6 2 7 2" xfId="4170" xr:uid="{00000000-0005-0000-0000-00002C070000}"/>
    <cellStyle name="40% - Accent6 2 7 2 2" xfId="8394" xr:uid="{00000000-0005-0000-0000-00002D070000}"/>
    <cellStyle name="40% - Accent6 2 7 2 2 2" xfId="16823" xr:uid="{F487552F-A517-4ED0-BF4F-D8B5EBE9484F}"/>
    <cellStyle name="40% - Accent6 2 7 2 3" xfId="12605" xr:uid="{CAD1017C-7323-4900-8CB5-5829AB696B35}"/>
    <cellStyle name="40% - Accent6 2 7 3" xfId="6249" xr:uid="{00000000-0005-0000-0000-00002E070000}"/>
    <cellStyle name="40% - Accent6 2 7 3 2" xfId="14678" xr:uid="{7ED87E42-8412-4FCE-B2A0-4C6A999DDCD9}"/>
    <cellStyle name="40% - Accent6 2 7 4" xfId="10460" xr:uid="{4A420843-E77A-4D16-B904-B5159734BCE1}"/>
    <cellStyle name="40% - Accent6 2 8" xfId="2354" xr:uid="{00000000-0005-0000-0000-00002F070000}"/>
    <cellStyle name="40% - Accent6 2 8 2" xfId="6662" xr:uid="{00000000-0005-0000-0000-000030070000}"/>
    <cellStyle name="40% - Accent6 2 8 2 2" xfId="15091" xr:uid="{0074C82D-0F7A-43EB-9785-A4CD33C4FFB2}"/>
    <cellStyle name="40% - Accent6 2 8 3" xfId="10873" xr:uid="{5F505C0D-3DF1-4F99-8BD4-354A0667DDC7}"/>
    <cellStyle name="40% - Accent6 2 9" xfId="4596" xr:uid="{00000000-0005-0000-0000-000031070000}"/>
    <cellStyle name="40% - Accent6 2 9 2" xfId="13025" xr:uid="{2F873CF9-5761-45C4-8A0E-17858F886939}"/>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2 2" xfId="15589" xr:uid="{BB0839C9-8E92-4C1D-9525-4181C515A8C9}"/>
    <cellStyle name="40% - Accent6 3 2 2 2 3" xfId="11371" xr:uid="{C2AF5C0A-19AB-4ECA-AB71-6B2DBDD86EA3}"/>
    <cellStyle name="40% - Accent6 3 2 2 3" xfId="5015" xr:uid="{00000000-0005-0000-0000-000037070000}"/>
    <cellStyle name="40% - Accent6 3 2 2 3 2" xfId="13444" xr:uid="{E2087F7B-7937-4A38-9725-3F7D2F01497A}"/>
    <cellStyle name="40% - Accent6 3 2 2 4" xfId="9226" xr:uid="{0BABD29F-C8E7-4A0C-A629-988F6C39BB80}"/>
    <cellStyle name="40% - Accent6 3 2 3" xfId="1118" xr:uid="{00000000-0005-0000-0000-000038070000}"/>
    <cellStyle name="40% - Accent6 3 2 3 2" xfId="3349" xr:uid="{00000000-0005-0000-0000-000039070000}"/>
    <cellStyle name="40% - Accent6 3 2 3 2 2" xfId="7573" xr:uid="{00000000-0005-0000-0000-00003A070000}"/>
    <cellStyle name="40% - Accent6 3 2 3 2 2 2" xfId="16002" xr:uid="{224E22A6-58F1-4420-AB99-E49737F373B3}"/>
    <cellStyle name="40% - Accent6 3 2 3 2 3" xfId="11784" xr:uid="{7287B09C-8CB3-40BA-8F72-34224DE25E5C}"/>
    <cellStyle name="40% - Accent6 3 2 3 3" xfId="5428" xr:uid="{00000000-0005-0000-0000-00003B070000}"/>
    <cellStyle name="40% - Accent6 3 2 3 3 2" xfId="13857" xr:uid="{1F7B7527-32BC-4410-A5CA-4F8574AF09D7}"/>
    <cellStyle name="40% - Accent6 3 2 3 4" xfId="9639" xr:uid="{8C2536AE-6B14-4CE3-B3D4-73EEA9C95FFE}"/>
    <cellStyle name="40% - Accent6 3 2 4" xfId="1532" xr:uid="{00000000-0005-0000-0000-00003C070000}"/>
    <cellStyle name="40% - Accent6 3 2 4 2" xfId="3762" xr:uid="{00000000-0005-0000-0000-00003D070000}"/>
    <cellStyle name="40% - Accent6 3 2 4 2 2" xfId="7986" xr:uid="{00000000-0005-0000-0000-00003E070000}"/>
    <cellStyle name="40% - Accent6 3 2 4 2 2 2" xfId="16415" xr:uid="{E6153D2D-FBE4-4FC6-8BEB-46501E3C9FD8}"/>
    <cellStyle name="40% - Accent6 3 2 4 2 3" xfId="12197" xr:uid="{E5B939C2-7ACC-4C3A-8874-AE9360CA512B}"/>
    <cellStyle name="40% - Accent6 3 2 4 3" xfId="5841" xr:uid="{00000000-0005-0000-0000-00003F070000}"/>
    <cellStyle name="40% - Accent6 3 2 4 3 2" xfId="14270" xr:uid="{E2D4780E-02AF-4B91-AEDF-9EC3765158A0}"/>
    <cellStyle name="40% - Accent6 3 2 4 4" xfId="10052" xr:uid="{39D30569-2F65-497D-9268-26E173F6E709}"/>
    <cellStyle name="40% - Accent6 3 2 5" xfId="1946" xr:uid="{00000000-0005-0000-0000-000040070000}"/>
    <cellStyle name="40% - Accent6 3 2 5 2" xfId="4175" xr:uid="{00000000-0005-0000-0000-000041070000}"/>
    <cellStyle name="40% - Accent6 3 2 5 2 2" xfId="8399" xr:uid="{00000000-0005-0000-0000-000042070000}"/>
    <cellStyle name="40% - Accent6 3 2 5 2 2 2" xfId="16828" xr:uid="{5B9732CC-EEAB-4EE6-843F-C349867568D7}"/>
    <cellStyle name="40% - Accent6 3 2 5 2 3" xfId="12610" xr:uid="{86F402A7-1702-4E62-8251-95C079E77195}"/>
    <cellStyle name="40% - Accent6 3 2 5 3" xfId="6254" xr:uid="{00000000-0005-0000-0000-000043070000}"/>
    <cellStyle name="40% - Accent6 3 2 5 3 2" xfId="14683" xr:uid="{8ED42332-CD45-4A18-ADD7-B7481A5B115D}"/>
    <cellStyle name="40% - Accent6 3 2 5 4" xfId="10465" xr:uid="{290A895F-6697-4C74-BBD6-6AE2D4DA2079}"/>
    <cellStyle name="40% - Accent6 3 2 6" xfId="2359" xr:uid="{00000000-0005-0000-0000-000044070000}"/>
    <cellStyle name="40% - Accent6 3 2 6 2" xfId="6667" xr:uid="{00000000-0005-0000-0000-000045070000}"/>
    <cellStyle name="40% - Accent6 3 2 6 2 2" xfId="15096" xr:uid="{DC04BCAF-0CCE-4AC2-AB10-D73B596115C0}"/>
    <cellStyle name="40% - Accent6 3 2 6 3" xfId="10878" xr:uid="{FB77C94A-45E1-499E-94F1-6A2596247799}"/>
    <cellStyle name="40% - Accent6 3 2 7" xfId="4601" xr:uid="{00000000-0005-0000-0000-000046070000}"/>
    <cellStyle name="40% - Accent6 3 2 7 2" xfId="13030" xr:uid="{4F1DAC2D-ACA0-4C94-9F0B-6052596C22CA}"/>
    <cellStyle name="40% - Accent6 3 2 8" xfId="8812" xr:uid="{56F13860-E743-43D3-B353-044E5AD35963}"/>
    <cellStyle name="40% - Accent6 3 3" xfId="664" xr:uid="{00000000-0005-0000-0000-000047070000}"/>
    <cellStyle name="40% - Accent6 3 3 2" xfId="2935" xr:uid="{00000000-0005-0000-0000-000048070000}"/>
    <cellStyle name="40% - Accent6 3 3 2 2" xfId="7159" xr:uid="{00000000-0005-0000-0000-000049070000}"/>
    <cellStyle name="40% - Accent6 3 3 2 2 2" xfId="15588" xr:uid="{154849AB-F798-4848-91B5-94906FA2ED86}"/>
    <cellStyle name="40% - Accent6 3 3 2 3" xfId="11370" xr:uid="{34091819-6E5A-4076-AFC0-3F575AF1D03F}"/>
    <cellStyle name="40% - Accent6 3 3 3" xfId="5014" xr:uid="{00000000-0005-0000-0000-00004A070000}"/>
    <cellStyle name="40% - Accent6 3 3 3 2" xfId="13443" xr:uid="{7AA3CB7E-2968-4B02-8929-46B65763D2D9}"/>
    <cellStyle name="40% - Accent6 3 3 4" xfId="9225" xr:uid="{7682EEFC-EA06-45E7-81E4-46D4150F5BF3}"/>
    <cellStyle name="40% - Accent6 3 4" xfId="1117" xr:uid="{00000000-0005-0000-0000-00004B070000}"/>
    <cellStyle name="40% - Accent6 3 4 2" xfId="3348" xr:uid="{00000000-0005-0000-0000-00004C070000}"/>
    <cellStyle name="40% - Accent6 3 4 2 2" xfId="7572" xr:uid="{00000000-0005-0000-0000-00004D070000}"/>
    <cellStyle name="40% - Accent6 3 4 2 2 2" xfId="16001" xr:uid="{FAD303E0-D3AA-42B6-80BC-F28B0BA2C3B6}"/>
    <cellStyle name="40% - Accent6 3 4 2 3" xfId="11783" xr:uid="{7D47BFE4-2E7C-4EDA-B705-32AD01B2A4FE}"/>
    <cellStyle name="40% - Accent6 3 4 3" xfId="5427" xr:uid="{00000000-0005-0000-0000-00004E070000}"/>
    <cellStyle name="40% - Accent6 3 4 3 2" xfId="13856" xr:uid="{406BDCE3-0342-4709-939E-34C5C15B1610}"/>
    <cellStyle name="40% - Accent6 3 4 4" xfId="9638" xr:uid="{5122DAB2-7802-47CA-9533-06D13DF915B5}"/>
    <cellStyle name="40% - Accent6 3 5" xfId="1531" xr:uid="{00000000-0005-0000-0000-00004F070000}"/>
    <cellStyle name="40% - Accent6 3 5 2" xfId="3761" xr:uid="{00000000-0005-0000-0000-000050070000}"/>
    <cellStyle name="40% - Accent6 3 5 2 2" xfId="7985" xr:uid="{00000000-0005-0000-0000-000051070000}"/>
    <cellStyle name="40% - Accent6 3 5 2 2 2" xfId="16414" xr:uid="{62F37D27-3587-489E-BFDA-1B93E1581DAA}"/>
    <cellStyle name="40% - Accent6 3 5 2 3" xfId="12196" xr:uid="{9B5D01F2-2F54-4970-B50C-0C9CFF72B20D}"/>
    <cellStyle name="40% - Accent6 3 5 3" xfId="5840" xr:uid="{00000000-0005-0000-0000-000052070000}"/>
    <cellStyle name="40% - Accent6 3 5 3 2" xfId="14269" xr:uid="{415E0829-53B5-475B-8213-067F52825CDF}"/>
    <cellStyle name="40% - Accent6 3 5 4" xfId="10051" xr:uid="{E173D381-D568-4D88-AFAD-249FDC1F5626}"/>
    <cellStyle name="40% - Accent6 3 6" xfId="1945" xr:uid="{00000000-0005-0000-0000-000053070000}"/>
    <cellStyle name="40% - Accent6 3 6 2" xfId="4174" xr:uid="{00000000-0005-0000-0000-000054070000}"/>
    <cellStyle name="40% - Accent6 3 6 2 2" xfId="8398" xr:uid="{00000000-0005-0000-0000-000055070000}"/>
    <cellStyle name="40% - Accent6 3 6 2 2 2" xfId="16827" xr:uid="{21D335CF-5948-498F-BC8C-BF82B30CC492}"/>
    <cellStyle name="40% - Accent6 3 6 2 3" xfId="12609" xr:uid="{27DD4CF2-7335-4D04-AD7B-6B05FC357DF9}"/>
    <cellStyle name="40% - Accent6 3 6 3" xfId="6253" xr:uid="{00000000-0005-0000-0000-000056070000}"/>
    <cellStyle name="40% - Accent6 3 6 3 2" xfId="14682" xr:uid="{04AC1D69-E70C-4DBA-B375-F324CE052A29}"/>
    <cellStyle name="40% - Accent6 3 6 4" xfId="10464" xr:uid="{4BC631FB-7633-4D3F-905C-6D910775EC35}"/>
    <cellStyle name="40% - Accent6 3 7" xfId="2358" xr:uid="{00000000-0005-0000-0000-000057070000}"/>
    <cellStyle name="40% - Accent6 3 7 2" xfId="6666" xr:uid="{00000000-0005-0000-0000-000058070000}"/>
    <cellStyle name="40% - Accent6 3 7 2 2" xfId="15095" xr:uid="{0F96B9A5-C640-4DBF-ABC8-AB35A5589805}"/>
    <cellStyle name="40% - Accent6 3 7 3" xfId="10877" xr:uid="{02631F81-E425-4459-BC60-FBD048E74DEB}"/>
    <cellStyle name="40% - Accent6 3 8" xfId="4600" xr:uid="{00000000-0005-0000-0000-000059070000}"/>
    <cellStyle name="40% - Accent6 3 8 2" xfId="13029" xr:uid="{8DE08A9B-C956-4880-882A-F41C190621DC}"/>
    <cellStyle name="40% - Accent6 3 9" xfId="8811" xr:uid="{CC8D92EC-48C6-49DA-BDE5-9B6859B10637}"/>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2 2" xfId="15590" xr:uid="{B7C2AA2E-3880-40E2-84AF-AF9CA982150E}"/>
    <cellStyle name="40% - Accent6 4 2 2 3" xfId="11372" xr:uid="{7B020089-10B9-490C-820C-564F79DAD3CA}"/>
    <cellStyle name="40% - Accent6 4 2 3" xfId="5016" xr:uid="{00000000-0005-0000-0000-00005E070000}"/>
    <cellStyle name="40% - Accent6 4 2 3 2" xfId="13445" xr:uid="{9648491D-F6E2-4A3C-AAB5-FB8CA07B7AA1}"/>
    <cellStyle name="40% - Accent6 4 2 4" xfId="9227" xr:uid="{7F001123-AA0D-41AC-938A-8434D02E621B}"/>
    <cellStyle name="40% - Accent6 4 3" xfId="1119" xr:uid="{00000000-0005-0000-0000-00005F070000}"/>
    <cellStyle name="40% - Accent6 4 3 2" xfId="3350" xr:uid="{00000000-0005-0000-0000-000060070000}"/>
    <cellStyle name="40% - Accent6 4 3 2 2" xfId="7574" xr:uid="{00000000-0005-0000-0000-000061070000}"/>
    <cellStyle name="40% - Accent6 4 3 2 2 2" xfId="16003" xr:uid="{073749EA-95DB-45F6-BED0-82F881809D5B}"/>
    <cellStyle name="40% - Accent6 4 3 2 3" xfId="11785" xr:uid="{338785D6-E83F-499A-AF06-104795F06AED}"/>
    <cellStyle name="40% - Accent6 4 3 3" xfId="5429" xr:uid="{00000000-0005-0000-0000-000062070000}"/>
    <cellStyle name="40% - Accent6 4 3 3 2" xfId="13858" xr:uid="{497395DA-994A-4A61-95A1-2D0FB02C38A2}"/>
    <cellStyle name="40% - Accent6 4 3 4" xfId="9640" xr:uid="{A609F639-20D6-4E32-AC81-3E8405C0F5FA}"/>
    <cellStyle name="40% - Accent6 4 4" xfId="1533" xr:uid="{00000000-0005-0000-0000-000063070000}"/>
    <cellStyle name="40% - Accent6 4 4 2" xfId="3763" xr:uid="{00000000-0005-0000-0000-000064070000}"/>
    <cellStyle name="40% - Accent6 4 4 2 2" xfId="7987" xr:uid="{00000000-0005-0000-0000-000065070000}"/>
    <cellStyle name="40% - Accent6 4 4 2 2 2" xfId="16416" xr:uid="{7B6863D3-E51B-432E-ABAD-FF3A82A71BA7}"/>
    <cellStyle name="40% - Accent6 4 4 2 3" xfId="12198" xr:uid="{A64BD579-DE8C-4208-8A5D-FBD7F340797B}"/>
    <cellStyle name="40% - Accent6 4 4 3" xfId="5842" xr:uid="{00000000-0005-0000-0000-000066070000}"/>
    <cellStyle name="40% - Accent6 4 4 3 2" xfId="14271" xr:uid="{B86E6EEA-D22D-4D12-B443-7C7099BA5996}"/>
    <cellStyle name="40% - Accent6 4 4 4" xfId="10053" xr:uid="{986BF73A-0604-498D-8917-8887185412D6}"/>
    <cellStyle name="40% - Accent6 4 5" xfId="1947" xr:uid="{00000000-0005-0000-0000-000067070000}"/>
    <cellStyle name="40% - Accent6 4 5 2" xfId="4176" xr:uid="{00000000-0005-0000-0000-000068070000}"/>
    <cellStyle name="40% - Accent6 4 5 2 2" xfId="8400" xr:uid="{00000000-0005-0000-0000-000069070000}"/>
    <cellStyle name="40% - Accent6 4 5 2 2 2" xfId="16829" xr:uid="{A79BF6ED-9C90-4A5C-BDD3-12CBF7B93E32}"/>
    <cellStyle name="40% - Accent6 4 5 2 3" xfId="12611" xr:uid="{86045C98-2C1A-48F4-8EE0-AEDFF370F323}"/>
    <cellStyle name="40% - Accent6 4 5 3" xfId="6255" xr:uid="{00000000-0005-0000-0000-00006A070000}"/>
    <cellStyle name="40% - Accent6 4 5 3 2" xfId="14684" xr:uid="{011189D4-9F85-4DF0-BC1D-B57B496647DB}"/>
    <cellStyle name="40% - Accent6 4 5 4" xfId="10466" xr:uid="{D908F64D-39B4-44B7-ADDC-E47D51A8737C}"/>
    <cellStyle name="40% - Accent6 4 6" xfId="2360" xr:uid="{00000000-0005-0000-0000-00006B070000}"/>
    <cellStyle name="40% - Accent6 4 6 2" xfId="6668" xr:uid="{00000000-0005-0000-0000-00006C070000}"/>
    <cellStyle name="40% - Accent6 4 6 2 2" xfId="15097" xr:uid="{FA7380B4-D804-47C1-9465-40DB3CEEB95D}"/>
    <cellStyle name="40% - Accent6 4 6 3" xfId="10879" xr:uid="{8C4D0BDB-979F-462E-A6D0-44E36F8985F2}"/>
    <cellStyle name="40% - Accent6 4 7" xfId="4602" xr:uid="{00000000-0005-0000-0000-00006D070000}"/>
    <cellStyle name="40% - Accent6 4 7 2" xfId="13031" xr:uid="{0ACDE224-76F0-4FD5-B06A-3EBC35673524}"/>
    <cellStyle name="40% - Accent6 4 8" xfId="8813" xr:uid="{43B288F9-0603-48ED-BBC4-C37AA7D64FE6}"/>
    <cellStyle name="40% - Accent6 5" xfId="659" xr:uid="{00000000-0005-0000-0000-00006E070000}"/>
    <cellStyle name="40% - Accent6 5 2" xfId="2930" xr:uid="{00000000-0005-0000-0000-00006F070000}"/>
    <cellStyle name="40% - Accent6 5 2 2" xfId="7154" xr:uid="{00000000-0005-0000-0000-000070070000}"/>
    <cellStyle name="40% - Accent6 5 2 2 2" xfId="15583" xr:uid="{5591333C-FFB7-4519-9528-88E71B968834}"/>
    <cellStyle name="40% - Accent6 5 2 3" xfId="11365" xr:uid="{F10E13C9-46D7-4532-8BEC-DC42AF2D9B22}"/>
    <cellStyle name="40% - Accent6 5 3" xfId="5009" xr:uid="{00000000-0005-0000-0000-000071070000}"/>
    <cellStyle name="40% - Accent6 5 3 2" xfId="13438" xr:uid="{41590B8A-5243-4FCD-B758-99978127B046}"/>
    <cellStyle name="40% - Accent6 5 4" xfId="9220" xr:uid="{4A42BA8C-4642-45AF-A794-8DBAA6EFD859}"/>
    <cellStyle name="40% - Accent6 6" xfId="1112" xr:uid="{00000000-0005-0000-0000-000072070000}"/>
    <cellStyle name="40% - Accent6 6 2" xfId="3343" xr:uid="{00000000-0005-0000-0000-000073070000}"/>
    <cellStyle name="40% - Accent6 6 2 2" xfId="7567" xr:uid="{00000000-0005-0000-0000-000074070000}"/>
    <cellStyle name="40% - Accent6 6 2 2 2" xfId="15996" xr:uid="{F69DA441-278E-468C-9053-89C0534612C5}"/>
    <cellStyle name="40% - Accent6 6 2 3" xfId="11778" xr:uid="{51760D7F-70A8-4E63-85BE-EE7612438AE2}"/>
    <cellStyle name="40% - Accent6 6 3" xfId="5422" xr:uid="{00000000-0005-0000-0000-000075070000}"/>
    <cellStyle name="40% - Accent6 6 3 2" xfId="13851" xr:uid="{7D8EEF61-7D2F-4C87-BA61-B7EC28B44BAB}"/>
    <cellStyle name="40% - Accent6 6 4" xfId="9633" xr:uid="{32DA3F7A-0DB7-4C2D-992A-B5C08C5E252E}"/>
    <cellStyle name="40% - Accent6 7" xfId="1526" xr:uid="{00000000-0005-0000-0000-000076070000}"/>
    <cellStyle name="40% - Accent6 7 2" xfId="3756" xr:uid="{00000000-0005-0000-0000-000077070000}"/>
    <cellStyle name="40% - Accent6 7 2 2" xfId="7980" xr:uid="{00000000-0005-0000-0000-000078070000}"/>
    <cellStyle name="40% - Accent6 7 2 2 2" xfId="16409" xr:uid="{92D83768-AD33-4901-9040-2E9554DA322B}"/>
    <cellStyle name="40% - Accent6 7 2 3" xfId="12191" xr:uid="{B64A9EEB-E84B-4822-A69A-384229AD12F5}"/>
    <cellStyle name="40% - Accent6 7 3" xfId="5835" xr:uid="{00000000-0005-0000-0000-000079070000}"/>
    <cellStyle name="40% - Accent6 7 3 2" xfId="14264" xr:uid="{DDF439A4-F73E-44A7-BBE5-C901B1B3AD0C}"/>
    <cellStyle name="40% - Accent6 7 4" xfId="10046" xr:uid="{42298167-1A10-45F0-B273-92AE8A0FAF66}"/>
    <cellStyle name="40% - Accent6 8" xfId="1940" xr:uid="{00000000-0005-0000-0000-00007A070000}"/>
    <cellStyle name="40% - Accent6 8 2" xfId="4169" xr:uid="{00000000-0005-0000-0000-00007B070000}"/>
    <cellStyle name="40% - Accent6 8 2 2" xfId="8393" xr:uid="{00000000-0005-0000-0000-00007C070000}"/>
    <cellStyle name="40% - Accent6 8 2 2 2" xfId="16822" xr:uid="{4E7C1C85-FD7E-417D-89CC-C86270B0FBC9}"/>
    <cellStyle name="40% - Accent6 8 2 3" xfId="12604" xr:uid="{1E847F0C-9E6F-4868-9D9C-8498D128A746}"/>
    <cellStyle name="40% - Accent6 8 3" xfId="6248" xr:uid="{00000000-0005-0000-0000-00007D070000}"/>
    <cellStyle name="40% - Accent6 8 3 2" xfId="14677" xr:uid="{4232E2DB-488E-46B7-BA85-A2033AFB67A1}"/>
    <cellStyle name="40% - Accent6 8 4" xfId="10459" xr:uid="{484ED821-1CA6-459A-ABEF-0E08AC15E093}"/>
    <cellStyle name="40% - Accent6 9" xfId="2353" xr:uid="{00000000-0005-0000-0000-00007E070000}"/>
    <cellStyle name="40% - Accent6 9 2" xfId="6661" xr:uid="{00000000-0005-0000-0000-00007F070000}"/>
    <cellStyle name="40% - Accent6 9 2 2" xfId="15090" xr:uid="{B22DB741-C10A-4D0E-8AC9-D87CF0FC670E}"/>
    <cellStyle name="40% - Accent6 9 3" xfId="10872" xr:uid="{72B1601F-1F70-4A02-908C-30F286A8E6CB}"/>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2 2" xfId="15415" xr:uid="{7BA30610-8F5F-4390-B95B-5A6818579439}"/>
    <cellStyle name="Comma 4 2 2 2 10 3" xfId="11197" xr:uid="{DD8A310C-C2E2-470A-AFE0-358DAA099E8E}"/>
    <cellStyle name="Comma 4 2 2 2 11" xfId="4603" xr:uid="{00000000-0005-0000-0000-0000A3070000}"/>
    <cellStyle name="Comma 4 2 2 2 11 2" xfId="13032" xr:uid="{6AA8695C-71BD-4A4E-AF01-824697B052EC}"/>
    <cellStyle name="Comma 4 2 2 2 12" xfId="8814" xr:uid="{A7474056-7080-449F-B119-5A435AC9848A}"/>
    <cellStyle name="Comma 4 2 2 2 2" xfId="129" xr:uid="{00000000-0005-0000-0000-0000A4070000}"/>
    <cellStyle name="Comma 4 2 2 2 2 10" xfId="4604" xr:uid="{00000000-0005-0000-0000-0000A5070000}"/>
    <cellStyle name="Comma 4 2 2 2 2 10 2" xfId="13033" xr:uid="{29E3324C-B7F7-42D0-B360-733449BB1116}"/>
    <cellStyle name="Comma 4 2 2 2 2 11" xfId="8815" xr:uid="{E5C1D404-C505-44B5-B3AE-93B9EEA35FA7}"/>
    <cellStyle name="Comma 4 2 2 2 2 2" xfId="130" xr:uid="{00000000-0005-0000-0000-0000A6070000}"/>
    <cellStyle name="Comma 4 2 2 2 2 2 10" xfId="8816" xr:uid="{6A42076B-B016-4913-A967-CE5BD1C3FDF4}"/>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2 2" xfId="15593" xr:uid="{59516D8F-4CEC-4F1E-9C25-D199FE63DC47}"/>
    <cellStyle name="Comma 4 2 2 2 2 2 2 2 3" xfId="11375" xr:uid="{2A6450D1-496B-4DAC-8B80-18A6398FD68E}"/>
    <cellStyle name="Comma 4 2 2 2 2 2 2 3" xfId="5019" xr:uid="{00000000-0005-0000-0000-0000AA070000}"/>
    <cellStyle name="Comma 4 2 2 2 2 2 2 3 2" xfId="13448" xr:uid="{30FD200A-4970-45B5-B794-BA400F023F52}"/>
    <cellStyle name="Comma 4 2 2 2 2 2 2 4" xfId="9230" xr:uid="{15F4D3F4-309E-429B-B65A-C955B32136F1}"/>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2 2" xfId="16006" xr:uid="{C6AA8C8D-2F1B-4FD4-9F1D-643A959F5A10}"/>
    <cellStyle name="Comma 4 2 2 2 2 2 3 2 3" xfId="11788" xr:uid="{CB9145BD-76E9-4EDF-8688-5436FCA508CD}"/>
    <cellStyle name="Comma 4 2 2 2 2 2 3 3" xfId="5432" xr:uid="{00000000-0005-0000-0000-0000AE070000}"/>
    <cellStyle name="Comma 4 2 2 2 2 2 3 3 2" xfId="13861" xr:uid="{E250E9F0-D2C6-44A6-8296-31240EA73043}"/>
    <cellStyle name="Comma 4 2 2 2 2 2 3 4" xfId="9643" xr:uid="{A966DEAD-D262-45EB-BD88-8014B8B61D8F}"/>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2 2" xfId="16419" xr:uid="{CCBB44EC-D853-416B-9A38-21DFBEA1D099}"/>
    <cellStyle name="Comma 4 2 2 2 2 2 4 2 3" xfId="12201" xr:uid="{48522CAA-F20D-4401-9F5E-40B50532AB57}"/>
    <cellStyle name="Comma 4 2 2 2 2 2 4 3" xfId="5845" xr:uid="{00000000-0005-0000-0000-0000B2070000}"/>
    <cellStyle name="Comma 4 2 2 2 2 2 4 3 2" xfId="14274" xr:uid="{E8592C31-A781-4E31-B16C-1AF656D25E05}"/>
    <cellStyle name="Comma 4 2 2 2 2 2 4 4" xfId="10056" xr:uid="{A5047C03-8FBE-4578-B1E5-1F560D284246}"/>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2 2" xfId="16832" xr:uid="{E44B83FB-FB0A-41F6-9432-CD7A031F50D0}"/>
    <cellStyle name="Comma 4 2 2 2 2 2 5 2 3" xfId="12614" xr:uid="{7B0096FF-7F19-4652-ACA0-663205BAEFDA}"/>
    <cellStyle name="Comma 4 2 2 2 2 2 5 3" xfId="6258" xr:uid="{00000000-0005-0000-0000-0000B6070000}"/>
    <cellStyle name="Comma 4 2 2 2 2 2 5 3 2" xfId="14687" xr:uid="{941F69DA-D0EC-4835-9F57-161F92DEB43E}"/>
    <cellStyle name="Comma 4 2 2 2 2 2 5 4" xfId="10469" xr:uid="{43699DAE-BB27-4642-9432-FD3C2C26D380}"/>
    <cellStyle name="Comma 4 2 2 2 2 2 6" xfId="2385" xr:uid="{00000000-0005-0000-0000-0000B7070000}"/>
    <cellStyle name="Comma 4 2 2 2 2 2 6 2" xfId="6671" xr:uid="{00000000-0005-0000-0000-0000B8070000}"/>
    <cellStyle name="Comma 4 2 2 2 2 2 6 2 2" xfId="15100" xr:uid="{16A69F83-A6DC-4C97-BBEF-615527536F1C}"/>
    <cellStyle name="Comma 4 2 2 2 2 2 6 3" xfId="10882" xr:uid="{CC5DA72A-65CC-49CA-ABDB-5F998C611D4A}"/>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2 2" xfId="15417" xr:uid="{AEEBF18A-2EC0-43EA-B2FA-DD57892D3AE5}"/>
    <cellStyle name="Comma 4 2 2 2 2 2 8 3" xfId="11199" xr:uid="{67D6A506-BE45-4D91-9036-C8EC3141CE71}"/>
    <cellStyle name="Comma 4 2 2 2 2 2 9" xfId="4605" xr:uid="{00000000-0005-0000-0000-0000BC070000}"/>
    <cellStyle name="Comma 4 2 2 2 2 2 9 2" xfId="13034" xr:uid="{9BD1ECE8-6422-4F60-9C68-6DC839661C4B}"/>
    <cellStyle name="Comma 4 2 2 2 2 3" xfId="668" xr:uid="{00000000-0005-0000-0000-0000BD070000}"/>
    <cellStyle name="Comma 4 2 2 2 2 3 2" xfId="2939" xr:uid="{00000000-0005-0000-0000-0000BE070000}"/>
    <cellStyle name="Comma 4 2 2 2 2 3 2 2" xfId="7163" xr:uid="{00000000-0005-0000-0000-0000BF070000}"/>
    <cellStyle name="Comma 4 2 2 2 2 3 2 2 2" xfId="15592" xr:uid="{AF624284-BA25-42F3-B9C6-E0ECBFE3861E}"/>
    <cellStyle name="Comma 4 2 2 2 2 3 2 3" xfId="11374" xr:uid="{5E3D3738-0BAD-4730-87D5-0F7B4FBD9F7A}"/>
    <cellStyle name="Comma 4 2 2 2 2 3 3" xfId="5018" xr:uid="{00000000-0005-0000-0000-0000C0070000}"/>
    <cellStyle name="Comma 4 2 2 2 2 3 3 2" xfId="13447" xr:uid="{3619AFD1-F1C1-4F21-A6B0-03A243E5461C}"/>
    <cellStyle name="Comma 4 2 2 2 2 3 4" xfId="9229" xr:uid="{0A9BC186-3625-4852-8385-031BDEE2B2AB}"/>
    <cellStyle name="Comma 4 2 2 2 2 4" xfId="1121" xr:uid="{00000000-0005-0000-0000-0000C1070000}"/>
    <cellStyle name="Comma 4 2 2 2 2 4 2" xfId="3352" xr:uid="{00000000-0005-0000-0000-0000C2070000}"/>
    <cellStyle name="Comma 4 2 2 2 2 4 2 2" xfId="7576" xr:uid="{00000000-0005-0000-0000-0000C3070000}"/>
    <cellStyle name="Comma 4 2 2 2 2 4 2 2 2" xfId="16005" xr:uid="{E7272F9C-4F6B-4A4B-96F2-88B2751A7BC1}"/>
    <cellStyle name="Comma 4 2 2 2 2 4 2 3" xfId="11787" xr:uid="{CCB833E3-322E-4309-ABE4-923563E22A0A}"/>
    <cellStyle name="Comma 4 2 2 2 2 4 3" xfId="5431" xr:uid="{00000000-0005-0000-0000-0000C4070000}"/>
    <cellStyle name="Comma 4 2 2 2 2 4 3 2" xfId="13860" xr:uid="{079B2FEB-51A2-49CB-AEA9-2857F8864E9B}"/>
    <cellStyle name="Comma 4 2 2 2 2 4 4" xfId="9642" xr:uid="{EB61F25E-9D99-4028-B6BD-D453B0F8D05B}"/>
    <cellStyle name="Comma 4 2 2 2 2 5" xfId="1535" xr:uid="{00000000-0005-0000-0000-0000C5070000}"/>
    <cellStyle name="Comma 4 2 2 2 2 5 2" xfId="3765" xr:uid="{00000000-0005-0000-0000-0000C6070000}"/>
    <cellStyle name="Comma 4 2 2 2 2 5 2 2" xfId="7989" xr:uid="{00000000-0005-0000-0000-0000C7070000}"/>
    <cellStyle name="Comma 4 2 2 2 2 5 2 2 2" xfId="16418" xr:uid="{700D3CC6-F4D7-4A19-92E1-CF007B0F82D0}"/>
    <cellStyle name="Comma 4 2 2 2 2 5 2 3" xfId="12200" xr:uid="{7525DC99-B36D-41D8-9260-FCC9CE55C34A}"/>
    <cellStyle name="Comma 4 2 2 2 2 5 3" xfId="5844" xr:uid="{00000000-0005-0000-0000-0000C8070000}"/>
    <cellStyle name="Comma 4 2 2 2 2 5 3 2" xfId="14273" xr:uid="{B4A88772-3EE5-4749-A341-460C20553C1F}"/>
    <cellStyle name="Comma 4 2 2 2 2 5 4" xfId="10055" xr:uid="{B2F64FC7-C537-442A-9428-EDA9C808FC59}"/>
    <cellStyle name="Comma 4 2 2 2 2 6" xfId="1949" xr:uid="{00000000-0005-0000-0000-0000C9070000}"/>
    <cellStyle name="Comma 4 2 2 2 2 6 2" xfId="4178" xr:uid="{00000000-0005-0000-0000-0000CA070000}"/>
    <cellStyle name="Comma 4 2 2 2 2 6 2 2" xfId="8402" xr:uid="{00000000-0005-0000-0000-0000CB070000}"/>
    <cellStyle name="Comma 4 2 2 2 2 6 2 2 2" xfId="16831" xr:uid="{203C885F-9E6F-4A0A-AF4A-66190AD8C428}"/>
    <cellStyle name="Comma 4 2 2 2 2 6 2 3" xfId="12613" xr:uid="{0AB777AF-E9F4-484A-8FDC-A6EBE4E3373F}"/>
    <cellStyle name="Comma 4 2 2 2 2 6 3" xfId="6257" xr:uid="{00000000-0005-0000-0000-0000CC070000}"/>
    <cellStyle name="Comma 4 2 2 2 2 6 3 2" xfId="14686" xr:uid="{D77B9CD7-8A2E-4372-BC09-C87EC5EB0F6D}"/>
    <cellStyle name="Comma 4 2 2 2 2 6 4" xfId="10468" xr:uid="{35EF4920-A5B3-4D4F-B1E5-2510859A6058}"/>
    <cellStyle name="Comma 4 2 2 2 2 7" xfId="2384" xr:uid="{00000000-0005-0000-0000-0000CD070000}"/>
    <cellStyle name="Comma 4 2 2 2 2 7 2" xfId="6670" xr:uid="{00000000-0005-0000-0000-0000CE070000}"/>
    <cellStyle name="Comma 4 2 2 2 2 7 2 2" xfId="15099" xr:uid="{4B8B827E-8679-40C4-B69B-B8D10F4A0D8D}"/>
    <cellStyle name="Comma 4 2 2 2 2 7 3" xfId="10881" xr:uid="{BAA6C612-8755-49D2-B431-FA93B666F7A3}"/>
    <cellStyle name="Comma 4 2 2 2 2 8" xfId="2381" xr:uid="{00000000-0005-0000-0000-0000CF070000}"/>
    <cellStyle name="Comma 4 2 2 2 2 9" xfId="2762" xr:uid="{00000000-0005-0000-0000-0000D0070000}"/>
    <cellStyle name="Comma 4 2 2 2 2 9 2" xfId="6987" xr:uid="{00000000-0005-0000-0000-0000D1070000}"/>
    <cellStyle name="Comma 4 2 2 2 2 9 2 2" xfId="15416" xr:uid="{16C1D04F-57D8-4AB1-836E-97FD9F072F60}"/>
    <cellStyle name="Comma 4 2 2 2 2 9 3" xfId="11198" xr:uid="{399286B7-4160-4FA8-8D25-EFFE59DDE93D}"/>
    <cellStyle name="Comma 4 2 2 2 3" xfId="131" xr:uid="{00000000-0005-0000-0000-0000D2070000}"/>
    <cellStyle name="Comma 4 2 2 2 3 10" xfId="8817" xr:uid="{8740BD60-022C-4FE6-B4A6-0A0907D630BD}"/>
    <cellStyle name="Comma 4 2 2 2 3 2" xfId="670" xr:uid="{00000000-0005-0000-0000-0000D3070000}"/>
    <cellStyle name="Comma 4 2 2 2 3 2 2" xfId="2941" xr:uid="{00000000-0005-0000-0000-0000D4070000}"/>
    <cellStyle name="Comma 4 2 2 2 3 2 2 2" xfId="7165" xr:uid="{00000000-0005-0000-0000-0000D5070000}"/>
    <cellStyle name="Comma 4 2 2 2 3 2 2 2 2" xfId="15594" xr:uid="{AE692E1A-BAD9-44FA-BAB6-21F267930991}"/>
    <cellStyle name="Comma 4 2 2 2 3 2 2 3" xfId="11376" xr:uid="{DEDF2CF6-3A36-49D4-9D41-CAD2218FDC74}"/>
    <cellStyle name="Comma 4 2 2 2 3 2 3" xfId="5020" xr:uid="{00000000-0005-0000-0000-0000D6070000}"/>
    <cellStyle name="Comma 4 2 2 2 3 2 3 2" xfId="13449" xr:uid="{D5A5CC5B-3853-474E-B4C3-FD072E368FF7}"/>
    <cellStyle name="Comma 4 2 2 2 3 2 4" xfId="9231" xr:uid="{32863A94-7383-4E58-9560-EFA1867AEBB7}"/>
    <cellStyle name="Comma 4 2 2 2 3 3" xfId="1123" xr:uid="{00000000-0005-0000-0000-0000D7070000}"/>
    <cellStyle name="Comma 4 2 2 2 3 3 2" xfId="3354" xr:uid="{00000000-0005-0000-0000-0000D8070000}"/>
    <cellStyle name="Comma 4 2 2 2 3 3 2 2" xfId="7578" xr:uid="{00000000-0005-0000-0000-0000D9070000}"/>
    <cellStyle name="Comma 4 2 2 2 3 3 2 2 2" xfId="16007" xr:uid="{506DA5D1-270F-4E76-9E45-B4B16149EFBA}"/>
    <cellStyle name="Comma 4 2 2 2 3 3 2 3" xfId="11789" xr:uid="{3F6C5588-9A6E-4DCC-AFB7-FACFA6041708}"/>
    <cellStyle name="Comma 4 2 2 2 3 3 3" xfId="5433" xr:uid="{00000000-0005-0000-0000-0000DA070000}"/>
    <cellStyle name="Comma 4 2 2 2 3 3 3 2" xfId="13862" xr:uid="{BF8474E1-D467-4AA6-AE52-73DBB5DF72C5}"/>
    <cellStyle name="Comma 4 2 2 2 3 3 4" xfId="9644" xr:uid="{029C65F3-DB33-4D20-8745-8B5DB481D8B7}"/>
    <cellStyle name="Comma 4 2 2 2 3 4" xfId="1537" xr:uid="{00000000-0005-0000-0000-0000DB070000}"/>
    <cellStyle name="Comma 4 2 2 2 3 4 2" xfId="3767" xr:uid="{00000000-0005-0000-0000-0000DC070000}"/>
    <cellStyle name="Comma 4 2 2 2 3 4 2 2" xfId="7991" xr:uid="{00000000-0005-0000-0000-0000DD070000}"/>
    <cellStyle name="Comma 4 2 2 2 3 4 2 2 2" xfId="16420" xr:uid="{493711E2-C463-4168-A6F9-4145ED64EDB0}"/>
    <cellStyle name="Comma 4 2 2 2 3 4 2 3" xfId="12202" xr:uid="{A14F2AAD-BDFF-48F4-8D87-AD2B921710BE}"/>
    <cellStyle name="Comma 4 2 2 2 3 4 3" xfId="5846" xr:uid="{00000000-0005-0000-0000-0000DE070000}"/>
    <cellStyle name="Comma 4 2 2 2 3 4 3 2" xfId="14275" xr:uid="{63B770A9-5512-4773-B78E-7F64E334662B}"/>
    <cellStyle name="Comma 4 2 2 2 3 4 4" xfId="10057" xr:uid="{796C665C-F496-40F6-8367-0D9A7527C173}"/>
    <cellStyle name="Comma 4 2 2 2 3 5" xfId="1951" xr:uid="{00000000-0005-0000-0000-0000DF070000}"/>
    <cellStyle name="Comma 4 2 2 2 3 5 2" xfId="4180" xr:uid="{00000000-0005-0000-0000-0000E0070000}"/>
    <cellStyle name="Comma 4 2 2 2 3 5 2 2" xfId="8404" xr:uid="{00000000-0005-0000-0000-0000E1070000}"/>
    <cellStyle name="Comma 4 2 2 2 3 5 2 2 2" xfId="16833" xr:uid="{70DCFFA2-41A7-4AF8-BB74-1BB6DDCFBB08}"/>
    <cellStyle name="Comma 4 2 2 2 3 5 2 3" xfId="12615" xr:uid="{14156E61-742B-4702-8556-81DA9B5D2532}"/>
    <cellStyle name="Comma 4 2 2 2 3 5 3" xfId="6259" xr:uid="{00000000-0005-0000-0000-0000E2070000}"/>
    <cellStyle name="Comma 4 2 2 2 3 5 3 2" xfId="14688" xr:uid="{4FCA44C0-21AA-42E2-88EB-5B2F3D6D9D26}"/>
    <cellStyle name="Comma 4 2 2 2 3 5 4" xfId="10470" xr:uid="{B172F3C2-9C16-4598-AF6A-1F5F58A2403F}"/>
    <cellStyle name="Comma 4 2 2 2 3 6" xfId="2386" xr:uid="{00000000-0005-0000-0000-0000E3070000}"/>
    <cellStyle name="Comma 4 2 2 2 3 6 2" xfId="6672" xr:uid="{00000000-0005-0000-0000-0000E4070000}"/>
    <cellStyle name="Comma 4 2 2 2 3 6 2 2" xfId="15101" xr:uid="{BEFB12A4-3972-4CA3-85B8-266EA64D8FFC}"/>
    <cellStyle name="Comma 4 2 2 2 3 6 3" xfId="10883" xr:uid="{94576D7D-CB09-43BB-90D7-5684F6ADEE88}"/>
    <cellStyle name="Comma 4 2 2 2 3 7" xfId="2379" xr:uid="{00000000-0005-0000-0000-0000E5070000}"/>
    <cellStyle name="Comma 4 2 2 2 3 8" xfId="2764" xr:uid="{00000000-0005-0000-0000-0000E6070000}"/>
    <cellStyle name="Comma 4 2 2 2 3 8 2" xfId="6989" xr:uid="{00000000-0005-0000-0000-0000E7070000}"/>
    <cellStyle name="Comma 4 2 2 2 3 8 2 2" xfId="15418" xr:uid="{7A534C55-43B1-4D06-BAC0-858828C18E79}"/>
    <cellStyle name="Comma 4 2 2 2 3 8 3" xfId="11200" xr:uid="{83D60C45-6172-4797-9386-AE2F6F91B83B}"/>
    <cellStyle name="Comma 4 2 2 2 3 9" xfId="4606" xr:uid="{00000000-0005-0000-0000-0000E8070000}"/>
    <cellStyle name="Comma 4 2 2 2 3 9 2" xfId="13035" xr:uid="{634B3DCD-BFF4-484F-8975-26EC5F1C7B45}"/>
    <cellStyle name="Comma 4 2 2 2 4" xfId="667" xr:uid="{00000000-0005-0000-0000-0000E9070000}"/>
    <cellStyle name="Comma 4 2 2 2 4 2" xfId="2938" xr:uid="{00000000-0005-0000-0000-0000EA070000}"/>
    <cellStyle name="Comma 4 2 2 2 4 2 2" xfId="7162" xr:uid="{00000000-0005-0000-0000-0000EB070000}"/>
    <cellStyle name="Comma 4 2 2 2 4 2 2 2" xfId="15591" xr:uid="{C4D19424-8CEA-4A47-8505-100F123F1145}"/>
    <cellStyle name="Comma 4 2 2 2 4 2 3" xfId="11373" xr:uid="{2564C34E-394A-418C-BEAC-F1C79A4FED56}"/>
    <cellStyle name="Comma 4 2 2 2 4 3" xfId="5017" xr:uid="{00000000-0005-0000-0000-0000EC070000}"/>
    <cellStyle name="Comma 4 2 2 2 4 3 2" xfId="13446" xr:uid="{42010A27-3496-4825-B749-633B3BAA787C}"/>
    <cellStyle name="Comma 4 2 2 2 4 4" xfId="9228" xr:uid="{FE5037B2-555F-4F46-A8C9-2B109312ED5C}"/>
    <cellStyle name="Comma 4 2 2 2 5" xfId="1120" xr:uid="{00000000-0005-0000-0000-0000ED070000}"/>
    <cellStyle name="Comma 4 2 2 2 5 2" xfId="3351" xr:uid="{00000000-0005-0000-0000-0000EE070000}"/>
    <cellStyle name="Comma 4 2 2 2 5 2 2" xfId="7575" xr:uid="{00000000-0005-0000-0000-0000EF070000}"/>
    <cellStyle name="Comma 4 2 2 2 5 2 2 2" xfId="16004" xr:uid="{789CA257-7B25-4BD3-B720-9E56DE7FA18F}"/>
    <cellStyle name="Comma 4 2 2 2 5 2 3" xfId="11786" xr:uid="{47550797-B5FE-4BB4-87B3-F80CAE8181F4}"/>
    <cellStyle name="Comma 4 2 2 2 5 3" xfId="5430" xr:uid="{00000000-0005-0000-0000-0000F0070000}"/>
    <cellStyle name="Comma 4 2 2 2 5 3 2" xfId="13859" xr:uid="{B11ADE77-7EEB-4851-A034-15AB141D517C}"/>
    <cellStyle name="Comma 4 2 2 2 5 4" xfId="9641" xr:uid="{3F14467F-389F-4975-96B9-C98DE2BFBBBF}"/>
    <cellStyle name="Comma 4 2 2 2 6" xfId="1534" xr:uid="{00000000-0005-0000-0000-0000F1070000}"/>
    <cellStyle name="Comma 4 2 2 2 6 2" xfId="3764" xr:uid="{00000000-0005-0000-0000-0000F2070000}"/>
    <cellStyle name="Comma 4 2 2 2 6 2 2" xfId="7988" xr:uid="{00000000-0005-0000-0000-0000F3070000}"/>
    <cellStyle name="Comma 4 2 2 2 6 2 2 2" xfId="16417" xr:uid="{9A63EAC9-612D-41D7-9643-8780A480DEB7}"/>
    <cellStyle name="Comma 4 2 2 2 6 2 3" xfId="12199" xr:uid="{6DBB4C0B-E01D-4AA8-B3AC-086912D20287}"/>
    <cellStyle name="Comma 4 2 2 2 6 3" xfId="5843" xr:uid="{00000000-0005-0000-0000-0000F4070000}"/>
    <cellStyle name="Comma 4 2 2 2 6 3 2" xfId="14272" xr:uid="{19B93984-5BF5-454B-BA38-DB041654F2A9}"/>
    <cellStyle name="Comma 4 2 2 2 6 4" xfId="10054" xr:uid="{9BA29099-D0C0-4183-97E2-36C70F90700A}"/>
    <cellStyle name="Comma 4 2 2 2 7" xfId="1948" xr:uid="{00000000-0005-0000-0000-0000F5070000}"/>
    <cellStyle name="Comma 4 2 2 2 7 2" xfId="4177" xr:uid="{00000000-0005-0000-0000-0000F6070000}"/>
    <cellStyle name="Comma 4 2 2 2 7 2 2" xfId="8401" xr:uid="{00000000-0005-0000-0000-0000F7070000}"/>
    <cellStyle name="Comma 4 2 2 2 7 2 2 2" xfId="16830" xr:uid="{E57E132C-9B2F-4AD6-90D4-1019A57FDF67}"/>
    <cellStyle name="Comma 4 2 2 2 7 2 3" xfId="12612" xr:uid="{DA5AABB8-6955-403C-936F-4F7AC4587278}"/>
    <cellStyle name="Comma 4 2 2 2 7 3" xfId="6256" xr:uid="{00000000-0005-0000-0000-0000F8070000}"/>
    <cellStyle name="Comma 4 2 2 2 7 3 2" xfId="14685" xr:uid="{BFF334DA-2B35-480F-AC54-D2FC1A5B1191}"/>
    <cellStyle name="Comma 4 2 2 2 7 4" xfId="10467" xr:uid="{63B3A78A-F281-4150-9DDD-08C044B1055E}"/>
    <cellStyle name="Comma 4 2 2 2 8" xfId="2383" xr:uid="{00000000-0005-0000-0000-0000F9070000}"/>
    <cellStyle name="Comma 4 2 2 2 8 2" xfId="6669" xr:uid="{00000000-0005-0000-0000-0000FA070000}"/>
    <cellStyle name="Comma 4 2 2 2 8 2 2" xfId="15098" xr:uid="{1CE65E8B-6D98-4653-83DD-913FA2B4A105}"/>
    <cellStyle name="Comma 4 2 2 2 8 3" xfId="10880" xr:uid="{4E73F8D8-FEBB-4D71-81EB-4B4500BC9326}"/>
    <cellStyle name="Comma 4 2 2 2 9" xfId="2382" xr:uid="{00000000-0005-0000-0000-0000FB070000}"/>
    <cellStyle name="Comma 4 2 2 3" xfId="132" xr:uid="{00000000-0005-0000-0000-0000FC070000}"/>
    <cellStyle name="Comma 4 2 2 3 10" xfId="4607" xr:uid="{00000000-0005-0000-0000-0000FD070000}"/>
    <cellStyle name="Comma 4 2 2 3 10 2" xfId="13036" xr:uid="{F0B6005A-4F20-48E4-9FF0-C1D5286A9DDE}"/>
    <cellStyle name="Comma 4 2 2 3 11" xfId="8818" xr:uid="{9AAF5F76-4BB9-499E-9B6A-91DF7DD359A5}"/>
    <cellStyle name="Comma 4 2 2 3 2" xfId="133" xr:uid="{00000000-0005-0000-0000-0000FE070000}"/>
    <cellStyle name="Comma 4 2 2 3 2 10" xfId="8819" xr:uid="{A200CB39-0E94-41D6-96FB-D35B4B9EE9FA}"/>
    <cellStyle name="Comma 4 2 2 3 2 2" xfId="672" xr:uid="{00000000-0005-0000-0000-0000FF070000}"/>
    <cellStyle name="Comma 4 2 2 3 2 2 2" xfId="2943" xr:uid="{00000000-0005-0000-0000-000000080000}"/>
    <cellStyle name="Comma 4 2 2 3 2 2 2 2" xfId="7167" xr:uid="{00000000-0005-0000-0000-000001080000}"/>
    <cellStyle name="Comma 4 2 2 3 2 2 2 2 2" xfId="15596" xr:uid="{86BCC786-DF83-471E-8FD7-E7D8C8147278}"/>
    <cellStyle name="Comma 4 2 2 3 2 2 2 3" xfId="11378" xr:uid="{17FCDB5C-62CE-4F35-9F32-B0BDD6752695}"/>
    <cellStyle name="Comma 4 2 2 3 2 2 3" xfId="5022" xr:uid="{00000000-0005-0000-0000-000002080000}"/>
    <cellStyle name="Comma 4 2 2 3 2 2 3 2" xfId="13451" xr:uid="{A4545E6E-01E1-4C79-99AD-479A93C8FDC7}"/>
    <cellStyle name="Comma 4 2 2 3 2 2 4" xfId="9233" xr:uid="{604D951D-CFAA-4056-B0B6-31DBD4CE56AE}"/>
    <cellStyle name="Comma 4 2 2 3 2 3" xfId="1125" xr:uid="{00000000-0005-0000-0000-000003080000}"/>
    <cellStyle name="Comma 4 2 2 3 2 3 2" xfId="3356" xr:uid="{00000000-0005-0000-0000-000004080000}"/>
    <cellStyle name="Comma 4 2 2 3 2 3 2 2" xfId="7580" xr:uid="{00000000-0005-0000-0000-000005080000}"/>
    <cellStyle name="Comma 4 2 2 3 2 3 2 2 2" xfId="16009" xr:uid="{5328843C-3951-4552-90A2-EF8EF78EF215}"/>
    <cellStyle name="Comma 4 2 2 3 2 3 2 3" xfId="11791" xr:uid="{FA6EFB00-0AF0-4E72-BB80-BF4D93297543}"/>
    <cellStyle name="Comma 4 2 2 3 2 3 3" xfId="5435" xr:uid="{00000000-0005-0000-0000-000006080000}"/>
    <cellStyle name="Comma 4 2 2 3 2 3 3 2" xfId="13864" xr:uid="{7B946F47-2583-4FBD-8FFC-AAC35F16A39A}"/>
    <cellStyle name="Comma 4 2 2 3 2 3 4" xfId="9646" xr:uid="{58A4B9F6-1AA8-4F48-9CDF-D290945F1D26}"/>
    <cellStyle name="Comma 4 2 2 3 2 4" xfId="1539" xr:uid="{00000000-0005-0000-0000-000007080000}"/>
    <cellStyle name="Comma 4 2 2 3 2 4 2" xfId="3769" xr:uid="{00000000-0005-0000-0000-000008080000}"/>
    <cellStyle name="Comma 4 2 2 3 2 4 2 2" xfId="7993" xr:uid="{00000000-0005-0000-0000-000009080000}"/>
    <cellStyle name="Comma 4 2 2 3 2 4 2 2 2" xfId="16422" xr:uid="{9BD11FA2-EC81-4A08-8E60-8D5BB7C5A362}"/>
    <cellStyle name="Comma 4 2 2 3 2 4 2 3" xfId="12204" xr:uid="{E05E425D-FD49-449D-8BB1-070449EAE52E}"/>
    <cellStyle name="Comma 4 2 2 3 2 4 3" xfId="5848" xr:uid="{00000000-0005-0000-0000-00000A080000}"/>
    <cellStyle name="Comma 4 2 2 3 2 4 3 2" xfId="14277" xr:uid="{51E72864-A174-4D18-AAA4-F95A01C0C444}"/>
    <cellStyle name="Comma 4 2 2 3 2 4 4" xfId="10059" xr:uid="{8EA8C433-2C0A-4C38-8D4A-B18ED5E33352}"/>
    <cellStyle name="Comma 4 2 2 3 2 5" xfId="1953" xr:uid="{00000000-0005-0000-0000-00000B080000}"/>
    <cellStyle name="Comma 4 2 2 3 2 5 2" xfId="4182" xr:uid="{00000000-0005-0000-0000-00000C080000}"/>
    <cellStyle name="Comma 4 2 2 3 2 5 2 2" xfId="8406" xr:uid="{00000000-0005-0000-0000-00000D080000}"/>
    <cellStyle name="Comma 4 2 2 3 2 5 2 2 2" xfId="16835" xr:uid="{2B4B84DA-5CF8-49E0-9AD5-4157173F56B0}"/>
    <cellStyle name="Comma 4 2 2 3 2 5 2 3" xfId="12617" xr:uid="{013BFC33-A50F-49A8-845A-58433A352D5E}"/>
    <cellStyle name="Comma 4 2 2 3 2 5 3" xfId="6261" xr:uid="{00000000-0005-0000-0000-00000E080000}"/>
    <cellStyle name="Comma 4 2 2 3 2 5 3 2" xfId="14690" xr:uid="{C34EE301-59D7-433D-9AA6-928ECDDC1F3A}"/>
    <cellStyle name="Comma 4 2 2 3 2 5 4" xfId="10472" xr:uid="{CF908009-6227-4DF0-92FB-49B8F71A687F}"/>
    <cellStyle name="Comma 4 2 2 3 2 6" xfId="2388" xr:uid="{00000000-0005-0000-0000-00000F080000}"/>
    <cellStyle name="Comma 4 2 2 3 2 6 2" xfId="6674" xr:uid="{00000000-0005-0000-0000-000010080000}"/>
    <cellStyle name="Comma 4 2 2 3 2 6 2 2" xfId="15103" xr:uid="{87649407-F50D-4505-9FC7-D463B28742BE}"/>
    <cellStyle name="Comma 4 2 2 3 2 6 3" xfId="10885" xr:uid="{39EBB2B9-F1F4-48F2-8A1B-9466A4F3D066}"/>
    <cellStyle name="Comma 4 2 2 3 2 7" xfId="2377" xr:uid="{00000000-0005-0000-0000-000011080000}"/>
    <cellStyle name="Comma 4 2 2 3 2 8" xfId="2766" xr:uid="{00000000-0005-0000-0000-000012080000}"/>
    <cellStyle name="Comma 4 2 2 3 2 8 2" xfId="6991" xr:uid="{00000000-0005-0000-0000-000013080000}"/>
    <cellStyle name="Comma 4 2 2 3 2 8 2 2" xfId="15420" xr:uid="{3F5F182E-2774-4944-AE79-2E0EF2D5D3F6}"/>
    <cellStyle name="Comma 4 2 2 3 2 8 3" xfId="11202" xr:uid="{E13CBEFE-DD75-4AD9-9F52-CE4EE50FB282}"/>
    <cellStyle name="Comma 4 2 2 3 2 9" xfId="4608" xr:uid="{00000000-0005-0000-0000-000014080000}"/>
    <cellStyle name="Comma 4 2 2 3 2 9 2" xfId="13037" xr:uid="{D43DE11C-DCCD-4F0D-9486-E9A50E24C151}"/>
    <cellStyle name="Comma 4 2 2 3 3" xfId="671" xr:uid="{00000000-0005-0000-0000-000015080000}"/>
    <cellStyle name="Comma 4 2 2 3 3 2" xfId="2942" xr:uid="{00000000-0005-0000-0000-000016080000}"/>
    <cellStyle name="Comma 4 2 2 3 3 2 2" xfId="7166" xr:uid="{00000000-0005-0000-0000-000017080000}"/>
    <cellStyle name="Comma 4 2 2 3 3 2 2 2" xfId="15595" xr:uid="{DEEAB60C-0B33-4AC1-A360-E62A626DB162}"/>
    <cellStyle name="Comma 4 2 2 3 3 2 3" xfId="11377" xr:uid="{EF688FE6-3B38-4AB5-B42D-3C2E0F82E81E}"/>
    <cellStyle name="Comma 4 2 2 3 3 3" xfId="5021" xr:uid="{00000000-0005-0000-0000-000018080000}"/>
    <cellStyle name="Comma 4 2 2 3 3 3 2" xfId="13450" xr:uid="{875E5F24-9560-4115-A8CA-2B137133E782}"/>
    <cellStyle name="Comma 4 2 2 3 3 4" xfId="9232" xr:uid="{FE944FB2-B422-48C1-9903-0EED3505F164}"/>
    <cellStyle name="Comma 4 2 2 3 4" xfId="1124" xr:uid="{00000000-0005-0000-0000-000019080000}"/>
    <cellStyle name="Comma 4 2 2 3 4 2" xfId="3355" xr:uid="{00000000-0005-0000-0000-00001A080000}"/>
    <cellStyle name="Comma 4 2 2 3 4 2 2" xfId="7579" xr:uid="{00000000-0005-0000-0000-00001B080000}"/>
    <cellStyle name="Comma 4 2 2 3 4 2 2 2" xfId="16008" xr:uid="{BBF42A7C-56F7-4609-A5D7-3DE1D9A8CCE9}"/>
    <cellStyle name="Comma 4 2 2 3 4 2 3" xfId="11790" xr:uid="{AA4CED26-45C9-48E3-AB81-F90F2FD320E3}"/>
    <cellStyle name="Comma 4 2 2 3 4 3" xfId="5434" xr:uid="{00000000-0005-0000-0000-00001C080000}"/>
    <cellStyle name="Comma 4 2 2 3 4 3 2" xfId="13863" xr:uid="{8B954EB5-03F4-4D95-B8C2-C14D2C6C535A}"/>
    <cellStyle name="Comma 4 2 2 3 4 4" xfId="9645" xr:uid="{F6DE1672-29AF-4913-8F4C-44A496FC4E41}"/>
    <cellStyle name="Comma 4 2 2 3 5" xfId="1538" xr:uid="{00000000-0005-0000-0000-00001D080000}"/>
    <cellStyle name="Comma 4 2 2 3 5 2" xfId="3768" xr:uid="{00000000-0005-0000-0000-00001E080000}"/>
    <cellStyle name="Comma 4 2 2 3 5 2 2" xfId="7992" xr:uid="{00000000-0005-0000-0000-00001F080000}"/>
    <cellStyle name="Comma 4 2 2 3 5 2 2 2" xfId="16421" xr:uid="{43DAEA19-DA37-44F2-A05B-6DFC1B5C100D}"/>
    <cellStyle name="Comma 4 2 2 3 5 2 3" xfId="12203" xr:uid="{83D40D43-E58C-46B5-A377-F8721383BDCC}"/>
    <cellStyle name="Comma 4 2 2 3 5 3" xfId="5847" xr:uid="{00000000-0005-0000-0000-000020080000}"/>
    <cellStyle name="Comma 4 2 2 3 5 3 2" xfId="14276" xr:uid="{326AC16B-E824-40C0-B05F-29069CAF2AEF}"/>
    <cellStyle name="Comma 4 2 2 3 5 4" xfId="10058" xr:uid="{F539B167-090B-4565-A9DB-775D33D7483B}"/>
    <cellStyle name="Comma 4 2 2 3 6" xfId="1952" xr:uid="{00000000-0005-0000-0000-000021080000}"/>
    <cellStyle name="Comma 4 2 2 3 6 2" xfId="4181" xr:uid="{00000000-0005-0000-0000-000022080000}"/>
    <cellStyle name="Comma 4 2 2 3 6 2 2" xfId="8405" xr:uid="{00000000-0005-0000-0000-000023080000}"/>
    <cellStyle name="Comma 4 2 2 3 6 2 2 2" xfId="16834" xr:uid="{C2DF8231-7D02-4DEC-B7FE-E2DF53A429F4}"/>
    <cellStyle name="Comma 4 2 2 3 6 2 3" xfId="12616" xr:uid="{CA200EE9-1CDD-43BC-AF37-E379D97441F5}"/>
    <cellStyle name="Comma 4 2 2 3 6 3" xfId="6260" xr:uid="{00000000-0005-0000-0000-000024080000}"/>
    <cellStyle name="Comma 4 2 2 3 6 3 2" xfId="14689" xr:uid="{47F71120-0861-4E9E-8175-81D36176A4D7}"/>
    <cellStyle name="Comma 4 2 2 3 6 4" xfId="10471" xr:uid="{F2F20F4F-8D63-44A9-8E02-2797F0A4A1A8}"/>
    <cellStyle name="Comma 4 2 2 3 7" xfId="2387" xr:uid="{00000000-0005-0000-0000-000025080000}"/>
    <cellStyle name="Comma 4 2 2 3 7 2" xfId="6673" xr:uid="{00000000-0005-0000-0000-000026080000}"/>
    <cellStyle name="Comma 4 2 2 3 7 2 2" xfId="15102" xr:uid="{ED960D08-D175-45C5-A04C-3757246A2D5A}"/>
    <cellStyle name="Comma 4 2 2 3 7 3" xfId="10884" xr:uid="{162A3405-F932-4A36-A8ED-70BD4EAE1890}"/>
    <cellStyle name="Comma 4 2 2 3 8" xfId="2378" xr:uid="{00000000-0005-0000-0000-000027080000}"/>
    <cellStyle name="Comma 4 2 2 3 9" xfId="2765" xr:uid="{00000000-0005-0000-0000-000028080000}"/>
    <cellStyle name="Comma 4 2 2 3 9 2" xfId="6990" xr:uid="{00000000-0005-0000-0000-000029080000}"/>
    <cellStyle name="Comma 4 2 2 3 9 2 2" xfId="15419" xr:uid="{52D137CE-E144-46F7-9A40-25DB128EF86A}"/>
    <cellStyle name="Comma 4 2 2 3 9 3" xfId="11201" xr:uid="{B9F18C5C-CF8F-4058-808D-1E2752C429C7}"/>
    <cellStyle name="Comma 4 2 2 4" xfId="134" xr:uid="{00000000-0005-0000-0000-00002A080000}"/>
    <cellStyle name="Comma 4 2 2 4 10" xfId="8820" xr:uid="{83E6B64B-B8AD-4F45-8068-9F815165AF9A}"/>
    <cellStyle name="Comma 4 2 2 4 2" xfId="673" xr:uid="{00000000-0005-0000-0000-00002B080000}"/>
    <cellStyle name="Comma 4 2 2 4 2 2" xfId="2944" xr:uid="{00000000-0005-0000-0000-00002C080000}"/>
    <cellStyle name="Comma 4 2 2 4 2 2 2" xfId="7168" xr:uid="{00000000-0005-0000-0000-00002D080000}"/>
    <cellStyle name="Comma 4 2 2 4 2 2 2 2" xfId="15597" xr:uid="{7BF92EF8-CC67-47AB-BD02-ADC43E43BD4D}"/>
    <cellStyle name="Comma 4 2 2 4 2 2 3" xfId="11379" xr:uid="{508BDA1D-7FE9-43C3-BA0C-B158BE2F0D84}"/>
    <cellStyle name="Comma 4 2 2 4 2 3" xfId="5023" xr:uid="{00000000-0005-0000-0000-00002E080000}"/>
    <cellStyle name="Comma 4 2 2 4 2 3 2" xfId="13452" xr:uid="{BA40F207-8B6E-4BE1-BEBA-DB2A43F18800}"/>
    <cellStyle name="Comma 4 2 2 4 2 4" xfId="9234" xr:uid="{4B5F825E-6043-461B-9AA6-0DCA167BDC42}"/>
    <cellStyle name="Comma 4 2 2 4 3" xfId="1126" xr:uid="{00000000-0005-0000-0000-00002F080000}"/>
    <cellStyle name="Comma 4 2 2 4 3 2" xfId="3357" xr:uid="{00000000-0005-0000-0000-000030080000}"/>
    <cellStyle name="Comma 4 2 2 4 3 2 2" xfId="7581" xr:uid="{00000000-0005-0000-0000-000031080000}"/>
    <cellStyle name="Comma 4 2 2 4 3 2 2 2" xfId="16010" xr:uid="{7C9C03AD-FD27-40C0-8DB2-07813141B1AB}"/>
    <cellStyle name="Comma 4 2 2 4 3 2 3" xfId="11792" xr:uid="{187BFE18-3662-4871-B83E-3CC4F3B60B5C}"/>
    <cellStyle name="Comma 4 2 2 4 3 3" xfId="5436" xr:uid="{00000000-0005-0000-0000-000032080000}"/>
    <cellStyle name="Comma 4 2 2 4 3 3 2" xfId="13865" xr:uid="{4E562AA1-E84E-4200-814E-9908FA789D37}"/>
    <cellStyle name="Comma 4 2 2 4 3 4" xfId="9647" xr:uid="{F9725FB6-7AE6-4FE5-A6FF-4BA2965AEBB0}"/>
    <cellStyle name="Comma 4 2 2 4 4" xfId="1540" xr:uid="{00000000-0005-0000-0000-000033080000}"/>
    <cellStyle name="Comma 4 2 2 4 4 2" xfId="3770" xr:uid="{00000000-0005-0000-0000-000034080000}"/>
    <cellStyle name="Comma 4 2 2 4 4 2 2" xfId="7994" xr:uid="{00000000-0005-0000-0000-000035080000}"/>
    <cellStyle name="Comma 4 2 2 4 4 2 2 2" xfId="16423" xr:uid="{3349A57D-1D80-41C7-ABC3-0C7DBBA9FC36}"/>
    <cellStyle name="Comma 4 2 2 4 4 2 3" xfId="12205" xr:uid="{43B4AA9C-48D8-47A5-8146-37EE85C39644}"/>
    <cellStyle name="Comma 4 2 2 4 4 3" xfId="5849" xr:uid="{00000000-0005-0000-0000-000036080000}"/>
    <cellStyle name="Comma 4 2 2 4 4 3 2" xfId="14278" xr:uid="{A4B4D161-1AFA-4CFE-8008-2A2BE3306CA0}"/>
    <cellStyle name="Comma 4 2 2 4 4 4" xfId="10060" xr:uid="{37F6A9EB-FF4F-4A87-A900-9E172ECEC06D}"/>
    <cellStyle name="Comma 4 2 2 4 5" xfId="1954" xr:uid="{00000000-0005-0000-0000-000037080000}"/>
    <cellStyle name="Comma 4 2 2 4 5 2" xfId="4183" xr:uid="{00000000-0005-0000-0000-000038080000}"/>
    <cellStyle name="Comma 4 2 2 4 5 2 2" xfId="8407" xr:uid="{00000000-0005-0000-0000-000039080000}"/>
    <cellStyle name="Comma 4 2 2 4 5 2 2 2" xfId="16836" xr:uid="{EF4C00D2-A634-4903-9592-9E26E5278C52}"/>
    <cellStyle name="Comma 4 2 2 4 5 2 3" xfId="12618" xr:uid="{FB7E194A-EA31-421F-8161-53E5AC019DAB}"/>
    <cellStyle name="Comma 4 2 2 4 5 3" xfId="6262" xr:uid="{00000000-0005-0000-0000-00003A080000}"/>
    <cellStyle name="Comma 4 2 2 4 5 3 2" xfId="14691" xr:uid="{09E89329-87B9-4788-83D9-8C577C8F69C4}"/>
    <cellStyle name="Comma 4 2 2 4 5 4" xfId="10473" xr:uid="{81FC67C2-A4AA-43E2-814A-C65411BF7C3C}"/>
    <cellStyle name="Comma 4 2 2 4 6" xfId="2389" xr:uid="{00000000-0005-0000-0000-00003B080000}"/>
    <cellStyle name="Comma 4 2 2 4 6 2" xfId="6675" xr:uid="{00000000-0005-0000-0000-00003C080000}"/>
    <cellStyle name="Comma 4 2 2 4 6 2 2" xfId="15104" xr:uid="{44811BA6-39F8-483E-A813-375BE0819636}"/>
    <cellStyle name="Comma 4 2 2 4 6 3" xfId="10886" xr:uid="{6A80DF0B-E3A6-4984-9ED2-AB4223F7D10A}"/>
    <cellStyle name="Comma 4 2 2 4 7" xfId="2376" xr:uid="{00000000-0005-0000-0000-00003D080000}"/>
    <cellStyle name="Comma 4 2 2 4 8" xfId="2767" xr:uid="{00000000-0005-0000-0000-00003E080000}"/>
    <cellStyle name="Comma 4 2 2 4 8 2" xfId="6992" xr:uid="{00000000-0005-0000-0000-00003F080000}"/>
    <cellStyle name="Comma 4 2 2 4 8 2 2" xfId="15421" xr:uid="{3C018654-FAD7-4DF2-ABF1-B1596F65924D}"/>
    <cellStyle name="Comma 4 2 2 4 8 3" xfId="11203" xr:uid="{110C58BA-7056-46DF-A088-18553F8809C3}"/>
    <cellStyle name="Comma 4 2 2 4 9" xfId="4609" xr:uid="{00000000-0005-0000-0000-000040080000}"/>
    <cellStyle name="Comma 4 2 2 4 9 2" xfId="13038" xr:uid="{CCD4153D-C8BB-478C-A3BF-BB366BC78476}"/>
    <cellStyle name="Comma 4 2 2 5" xfId="135" xr:uid="{00000000-0005-0000-0000-000041080000}"/>
    <cellStyle name="Comma 4 2 2 5 10" xfId="8821" xr:uid="{70E63C13-50D7-49F3-80CD-60AD5006328C}"/>
    <cellStyle name="Comma 4 2 2 5 2" xfId="674" xr:uid="{00000000-0005-0000-0000-000042080000}"/>
    <cellStyle name="Comma 4 2 2 5 2 2" xfId="2945" xr:uid="{00000000-0005-0000-0000-000043080000}"/>
    <cellStyle name="Comma 4 2 2 5 2 2 2" xfId="7169" xr:uid="{00000000-0005-0000-0000-000044080000}"/>
    <cellStyle name="Comma 4 2 2 5 2 2 2 2" xfId="15598" xr:uid="{DB867EFC-7860-47E7-8CD5-94232913E109}"/>
    <cellStyle name="Comma 4 2 2 5 2 2 3" xfId="11380" xr:uid="{E19AC395-A211-4B97-905E-9C3F7D1C4B39}"/>
    <cellStyle name="Comma 4 2 2 5 2 3" xfId="5024" xr:uid="{00000000-0005-0000-0000-000045080000}"/>
    <cellStyle name="Comma 4 2 2 5 2 3 2" xfId="13453" xr:uid="{FA7B6264-50FD-48F9-ADE7-07A24A573E40}"/>
    <cellStyle name="Comma 4 2 2 5 2 4" xfId="9235" xr:uid="{09A0F178-5F8F-4791-BD64-A42CDF14C39B}"/>
    <cellStyle name="Comma 4 2 2 5 3" xfId="1127" xr:uid="{00000000-0005-0000-0000-000046080000}"/>
    <cellStyle name="Comma 4 2 2 5 3 2" xfId="3358" xr:uid="{00000000-0005-0000-0000-000047080000}"/>
    <cellStyle name="Comma 4 2 2 5 3 2 2" xfId="7582" xr:uid="{00000000-0005-0000-0000-000048080000}"/>
    <cellStyle name="Comma 4 2 2 5 3 2 2 2" xfId="16011" xr:uid="{52375ADB-45D0-4904-9F2B-F00965226DAA}"/>
    <cellStyle name="Comma 4 2 2 5 3 2 3" xfId="11793" xr:uid="{03B181C2-0C91-46C7-AED7-8D112D1C702D}"/>
    <cellStyle name="Comma 4 2 2 5 3 3" xfId="5437" xr:uid="{00000000-0005-0000-0000-000049080000}"/>
    <cellStyle name="Comma 4 2 2 5 3 3 2" xfId="13866" xr:uid="{7E1F698D-A8D3-434B-BC46-051EDE9448E6}"/>
    <cellStyle name="Comma 4 2 2 5 3 4" xfId="9648" xr:uid="{C831C19D-7F3F-4E44-AFCA-C0A3FCB40E85}"/>
    <cellStyle name="Comma 4 2 2 5 4" xfId="1541" xr:uid="{00000000-0005-0000-0000-00004A080000}"/>
    <cellStyle name="Comma 4 2 2 5 4 2" xfId="3771" xr:uid="{00000000-0005-0000-0000-00004B080000}"/>
    <cellStyle name="Comma 4 2 2 5 4 2 2" xfId="7995" xr:uid="{00000000-0005-0000-0000-00004C080000}"/>
    <cellStyle name="Comma 4 2 2 5 4 2 2 2" xfId="16424" xr:uid="{6B2E98C4-F96C-410A-A3CD-FE07AF979451}"/>
    <cellStyle name="Comma 4 2 2 5 4 2 3" xfId="12206" xr:uid="{6D966353-49F5-4B29-BF73-8D763479F242}"/>
    <cellStyle name="Comma 4 2 2 5 4 3" xfId="5850" xr:uid="{00000000-0005-0000-0000-00004D080000}"/>
    <cellStyle name="Comma 4 2 2 5 4 3 2" xfId="14279" xr:uid="{B073BA94-DEE6-4F8B-BD07-0DABABBBEF2F}"/>
    <cellStyle name="Comma 4 2 2 5 4 4" xfId="10061" xr:uid="{48ABC15C-3D67-4300-AC9E-BE280D2026BD}"/>
    <cellStyle name="Comma 4 2 2 5 5" xfId="1955" xr:uid="{00000000-0005-0000-0000-00004E080000}"/>
    <cellStyle name="Comma 4 2 2 5 5 2" xfId="4184" xr:uid="{00000000-0005-0000-0000-00004F080000}"/>
    <cellStyle name="Comma 4 2 2 5 5 2 2" xfId="8408" xr:uid="{00000000-0005-0000-0000-000050080000}"/>
    <cellStyle name="Comma 4 2 2 5 5 2 2 2" xfId="16837" xr:uid="{FD69FCFA-912C-40F8-A28B-81457F2ABF0C}"/>
    <cellStyle name="Comma 4 2 2 5 5 2 3" xfId="12619" xr:uid="{55FA7A76-77CA-4300-8C0D-A9841148B098}"/>
    <cellStyle name="Comma 4 2 2 5 5 3" xfId="6263" xr:uid="{00000000-0005-0000-0000-000051080000}"/>
    <cellStyle name="Comma 4 2 2 5 5 3 2" xfId="14692" xr:uid="{CC093D41-F812-4D82-9A74-DBBA190449E7}"/>
    <cellStyle name="Comma 4 2 2 5 5 4" xfId="10474" xr:uid="{2341227C-5774-48B9-8721-8CD4E577D849}"/>
    <cellStyle name="Comma 4 2 2 5 6" xfId="2390" xr:uid="{00000000-0005-0000-0000-000052080000}"/>
    <cellStyle name="Comma 4 2 2 5 6 2" xfId="6676" xr:uid="{00000000-0005-0000-0000-000053080000}"/>
    <cellStyle name="Comma 4 2 2 5 6 2 2" xfId="15105" xr:uid="{4BA448CE-EA61-4EE8-8F03-FFA36FE8D3B1}"/>
    <cellStyle name="Comma 4 2 2 5 6 3" xfId="10887" xr:uid="{665C7413-09FF-4976-8E3F-6FDED440BD85}"/>
    <cellStyle name="Comma 4 2 2 5 7" xfId="2375" xr:uid="{00000000-0005-0000-0000-000054080000}"/>
    <cellStyle name="Comma 4 2 2 5 8" xfId="2768" xr:uid="{00000000-0005-0000-0000-000055080000}"/>
    <cellStyle name="Comma 4 2 2 5 8 2" xfId="6993" xr:uid="{00000000-0005-0000-0000-000056080000}"/>
    <cellStyle name="Comma 4 2 2 5 8 2 2" xfId="15422" xr:uid="{5D58E07C-32C2-4134-A8C6-113E839A4E38}"/>
    <cellStyle name="Comma 4 2 2 5 8 3" xfId="11204" xr:uid="{26F6690D-CAD0-42D2-A864-806E4B942B13}"/>
    <cellStyle name="Comma 4 2 2 5 9" xfId="4610" xr:uid="{00000000-0005-0000-0000-000057080000}"/>
    <cellStyle name="Comma 4 2 2 5 9 2" xfId="13039" xr:uid="{AFE15713-6423-4357-91DF-57AB79AD7EF4}"/>
    <cellStyle name="Comma 4 2 3" xfId="136" xr:uid="{00000000-0005-0000-0000-000058080000}"/>
    <cellStyle name="Comma 4 2 3 10" xfId="2769" xr:uid="{00000000-0005-0000-0000-000059080000}"/>
    <cellStyle name="Comma 4 2 3 10 2" xfId="6994" xr:uid="{00000000-0005-0000-0000-00005A080000}"/>
    <cellStyle name="Comma 4 2 3 10 2 2" xfId="15423" xr:uid="{8D5BB2D7-CFD6-4410-9C9D-46E6D4BDDB68}"/>
    <cellStyle name="Comma 4 2 3 10 3" xfId="11205" xr:uid="{C22F3DBD-3EFD-4961-AD2E-AC356D5139B9}"/>
    <cellStyle name="Comma 4 2 3 11" xfId="4611" xr:uid="{00000000-0005-0000-0000-00005B080000}"/>
    <cellStyle name="Comma 4 2 3 11 2" xfId="13040" xr:uid="{DF783AA1-7C53-4D4D-8B4D-E48DEE6F0BE6}"/>
    <cellStyle name="Comma 4 2 3 12" xfId="8822" xr:uid="{7688C517-21B4-4C3A-9F86-FB2233D8468E}"/>
    <cellStyle name="Comma 4 2 3 2" xfId="137" xr:uid="{00000000-0005-0000-0000-00005C080000}"/>
    <cellStyle name="Comma 4 2 3 2 10" xfId="4612" xr:uid="{00000000-0005-0000-0000-00005D080000}"/>
    <cellStyle name="Comma 4 2 3 2 10 2" xfId="13041" xr:uid="{D7243353-7C48-4B65-B958-ABE652FCE8AE}"/>
    <cellStyle name="Comma 4 2 3 2 11" xfId="8823" xr:uid="{51029865-A9DA-461C-B63B-1EDD7858BE4D}"/>
    <cellStyle name="Comma 4 2 3 2 2" xfId="138" xr:uid="{00000000-0005-0000-0000-00005E080000}"/>
    <cellStyle name="Comma 4 2 3 2 2 10" xfId="8824" xr:uid="{15E7DCAE-021A-44EA-9A6A-2101C9D1840E}"/>
    <cellStyle name="Comma 4 2 3 2 2 2" xfId="677" xr:uid="{00000000-0005-0000-0000-00005F080000}"/>
    <cellStyle name="Comma 4 2 3 2 2 2 2" xfId="2948" xr:uid="{00000000-0005-0000-0000-000060080000}"/>
    <cellStyle name="Comma 4 2 3 2 2 2 2 2" xfId="7172" xr:uid="{00000000-0005-0000-0000-000061080000}"/>
    <cellStyle name="Comma 4 2 3 2 2 2 2 2 2" xfId="15601" xr:uid="{DA9E5CE8-C7F7-4E59-B5BC-4663B26ACFDF}"/>
    <cellStyle name="Comma 4 2 3 2 2 2 2 3" xfId="11383" xr:uid="{112F02AC-BA59-473D-9468-F9122AAEB9F4}"/>
    <cellStyle name="Comma 4 2 3 2 2 2 3" xfId="5027" xr:uid="{00000000-0005-0000-0000-000062080000}"/>
    <cellStyle name="Comma 4 2 3 2 2 2 3 2" xfId="13456" xr:uid="{7BFDE9BC-BA2E-47A4-A77C-1B56AB8ADBFC}"/>
    <cellStyle name="Comma 4 2 3 2 2 2 4" xfId="9238" xr:uid="{0D41F56A-4DDC-4558-9574-22DCB11C770F}"/>
    <cellStyle name="Comma 4 2 3 2 2 3" xfId="1130" xr:uid="{00000000-0005-0000-0000-000063080000}"/>
    <cellStyle name="Comma 4 2 3 2 2 3 2" xfId="3361" xr:uid="{00000000-0005-0000-0000-000064080000}"/>
    <cellStyle name="Comma 4 2 3 2 2 3 2 2" xfId="7585" xr:uid="{00000000-0005-0000-0000-000065080000}"/>
    <cellStyle name="Comma 4 2 3 2 2 3 2 2 2" xfId="16014" xr:uid="{E1A7716C-7AA9-4ECE-9C15-0236541902E6}"/>
    <cellStyle name="Comma 4 2 3 2 2 3 2 3" xfId="11796" xr:uid="{0F26E9EF-A519-4231-9938-8421071E7FDC}"/>
    <cellStyle name="Comma 4 2 3 2 2 3 3" xfId="5440" xr:uid="{00000000-0005-0000-0000-000066080000}"/>
    <cellStyle name="Comma 4 2 3 2 2 3 3 2" xfId="13869" xr:uid="{B93FD1D8-B4AC-4255-9CC5-B79EE3E1D5AB}"/>
    <cellStyle name="Comma 4 2 3 2 2 3 4" xfId="9651" xr:uid="{A7A1038A-1D4A-4A34-A58C-1A174916D784}"/>
    <cellStyle name="Comma 4 2 3 2 2 4" xfId="1544" xr:uid="{00000000-0005-0000-0000-000067080000}"/>
    <cellStyle name="Comma 4 2 3 2 2 4 2" xfId="3774" xr:uid="{00000000-0005-0000-0000-000068080000}"/>
    <cellStyle name="Comma 4 2 3 2 2 4 2 2" xfId="7998" xr:uid="{00000000-0005-0000-0000-000069080000}"/>
    <cellStyle name="Comma 4 2 3 2 2 4 2 2 2" xfId="16427" xr:uid="{2BEE63DC-EAFF-4458-B8AA-399F16A28578}"/>
    <cellStyle name="Comma 4 2 3 2 2 4 2 3" xfId="12209" xr:uid="{D7410BE0-8C33-4A30-8626-33FC80AC940A}"/>
    <cellStyle name="Comma 4 2 3 2 2 4 3" xfId="5853" xr:uid="{00000000-0005-0000-0000-00006A080000}"/>
    <cellStyle name="Comma 4 2 3 2 2 4 3 2" xfId="14282" xr:uid="{E02118D9-BD6B-40DC-80CC-AA01DE2DEB60}"/>
    <cellStyle name="Comma 4 2 3 2 2 4 4" xfId="10064" xr:uid="{E8816AB9-D1FD-464A-BB53-56474833EB9F}"/>
    <cellStyle name="Comma 4 2 3 2 2 5" xfId="1958" xr:uid="{00000000-0005-0000-0000-00006B080000}"/>
    <cellStyle name="Comma 4 2 3 2 2 5 2" xfId="4187" xr:uid="{00000000-0005-0000-0000-00006C080000}"/>
    <cellStyle name="Comma 4 2 3 2 2 5 2 2" xfId="8411" xr:uid="{00000000-0005-0000-0000-00006D080000}"/>
    <cellStyle name="Comma 4 2 3 2 2 5 2 2 2" xfId="16840" xr:uid="{A10BFD9A-2262-46BA-B51B-DAFEBAA21ECB}"/>
    <cellStyle name="Comma 4 2 3 2 2 5 2 3" xfId="12622" xr:uid="{5FAE2165-B558-4A58-9DBE-2CB30AD337A8}"/>
    <cellStyle name="Comma 4 2 3 2 2 5 3" xfId="6266" xr:uid="{00000000-0005-0000-0000-00006E080000}"/>
    <cellStyle name="Comma 4 2 3 2 2 5 3 2" xfId="14695" xr:uid="{283CFA0C-FA9F-4B6E-950B-1CA0389ABA56}"/>
    <cellStyle name="Comma 4 2 3 2 2 5 4" xfId="10477" xr:uid="{407E0E37-4F10-4DE3-A9D1-93E0C1BDF986}"/>
    <cellStyle name="Comma 4 2 3 2 2 6" xfId="2393" xr:uid="{00000000-0005-0000-0000-00006F080000}"/>
    <cellStyle name="Comma 4 2 3 2 2 6 2" xfId="6679" xr:uid="{00000000-0005-0000-0000-000070080000}"/>
    <cellStyle name="Comma 4 2 3 2 2 6 2 2" xfId="15108" xr:uid="{041C58D9-C76E-4F82-8378-B66FA6476D6C}"/>
    <cellStyle name="Comma 4 2 3 2 2 6 3" xfId="10890" xr:uid="{FCFD2B1C-B2FD-4375-862C-2B67368C50CA}"/>
    <cellStyle name="Comma 4 2 3 2 2 7" xfId="2372" xr:uid="{00000000-0005-0000-0000-000071080000}"/>
    <cellStyle name="Comma 4 2 3 2 2 8" xfId="2771" xr:uid="{00000000-0005-0000-0000-000072080000}"/>
    <cellStyle name="Comma 4 2 3 2 2 8 2" xfId="6996" xr:uid="{00000000-0005-0000-0000-000073080000}"/>
    <cellStyle name="Comma 4 2 3 2 2 8 2 2" xfId="15425" xr:uid="{1D6A42DA-BD74-44DE-8C5A-CE976742D0FB}"/>
    <cellStyle name="Comma 4 2 3 2 2 8 3" xfId="11207" xr:uid="{1E132E89-4866-4C2A-B772-214DC2544B7D}"/>
    <cellStyle name="Comma 4 2 3 2 2 9" xfId="4613" xr:uid="{00000000-0005-0000-0000-000074080000}"/>
    <cellStyle name="Comma 4 2 3 2 2 9 2" xfId="13042" xr:uid="{9D5D0F9A-D1EA-42EC-914C-990CEDD9D42C}"/>
    <cellStyle name="Comma 4 2 3 2 3" xfId="676" xr:uid="{00000000-0005-0000-0000-000075080000}"/>
    <cellStyle name="Comma 4 2 3 2 3 2" xfId="2947" xr:uid="{00000000-0005-0000-0000-000076080000}"/>
    <cellStyle name="Comma 4 2 3 2 3 2 2" xfId="7171" xr:uid="{00000000-0005-0000-0000-000077080000}"/>
    <cellStyle name="Comma 4 2 3 2 3 2 2 2" xfId="15600" xr:uid="{6CE8DB70-92CE-4805-85AC-E12A9940EBA0}"/>
    <cellStyle name="Comma 4 2 3 2 3 2 3" xfId="11382" xr:uid="{6F857604-4329-41D6-9666-C77FF5A7E062}"/>
    <cellStyle name="Comma 4 2 3 2 3 3" xfId="5026" xr:uid="{00000000-0005-0000-0000-000078080000}"/>
    <cellStyle name="Comma 4 2 3 2 3 3 2" xfId="13455" xr:uid="{BDB03E92-F375-45F1-99A8-DB51DAEABCEC}"/>
    <cellStyle name="Comma 4 2 3 2 3 4" xfId="9237" xr:uid="{8FE235B3-6330-428B-AC5E-D58B5E447351}"/>
    <cellStyle name="Comma 4 2 3 2 4" xfId="1129" xr:uid="{00000000-0005-0000-0000-000079080000}"/>
    <cellStyle name="Comma 4 2 3 2 4 2" xfId="3360" xr:uid="{00000000-0005-0000-0000-00007A080000}"/>
    <cellStyle name="Comma 4 2 3 2 4 2 2" xfId="7584" xr:uid="{00000000-0005-0000-0000-00007B080000}"/>
    <cellStyle name="Comma 4 2 3 2 4 2 2 2" xfId="16013" xr:uid="{BF7A5DEC-117B-4116-BD01-F4D2D579C7D8}"/>
    <cellStyle name="Comma 4 2 3 2 4 2 3" xfId="11795" xr:uid="{B98EFB05-2576-4261-84F8-965C9D4D20FE}"/>
    <cellStyle name="Comma 4 2 3 2 4 3" xfId="5439" xr:uid="{00000000-0005-0000-0000-00007C080000}"/>
    <cellStyle name="Comma 4 2 3 2 4 3 2" xfId="13868" xr:uid="{A7A72121-69D5-4B66-B42F-410B320ABFA8}"/>
    <cellStyle name="Comma 4 2 3 2 4 4" xfId="9650" xr:uid="{1E4FAC82-5F1F-42B5-A0F6-CA1EA60FC964}"/>
    <cellStyle name="Comma 4 2 3 2 5" xfId="1543" xr:uid="{00000000-0005-0000-0000-00007D080000}"/>
    <cellStyle name="Comma 4 2 3 2 5 2" xfId="3773" xr:uid="{00000000-0005-0000-0000-00007E080000}"/>
    <cellStyle name="Comma 4 2 3 2 5 2 2" xfId="7997" xr:uid="{00000000-0005-0000-0000-00007F080000}"/>
    <cellStyle name="Comma 4 2 3 2 5 2 2 2" xfId="16426" xr:uid="{65A180C3-3CE1-45D2-96FC-7FF9F900D809}"/>
    <cellStyle name="Comma 4 2 3 2 5 2 3" xfId="12208" xr:uid="{B6DE52DE-7E90-4C4B-9F74-24AB9E839863}"/>
    <cellStyle name="Comma 4 2 3 2 5 3" xfId="5852" xr:uid="{00000000-0005-0000-0000-000080080000}"/>
    <cellStyle name="Comma 4 2 3 2 5 3 2" xfId="14281" xr:uid="{E111F9DC-35BB-490D-9DB4-186FA1DFEE42}"/>
    <cellStyle name="Comma 4 2 3 2 5 4" xfId="10063" xr:uid="{BCFAEE6C-75AC-482A-9983-BCFB84CB6F3B}"/>
    <cellStyle name="Comma 4 2 3 2 6" xfId="1957" xr:uid="{00000000-0005-0000-0000-000081080000}"/>
    <cellStyle name="Comma 4 2 3 2 6 2" xfId="4186" xr:uid="{00000000-0005-0000-0000-000082080000}"/>
    <cellStyle name="Comma 4 2 3 2 6 2 2" xfId="8410" xr:uid="{00000000-0005-0000-0000-000083080000}"/>
    <cellStyle name="Comma 4 2 3 2 6 2 2 2" xfId="16839" xr:uid="{B461E660-6831-47D8-BE9E-729EEA807E49}"/>
    <cellStyle name="Comma 4 2 3 2 6 2 3" xfId="12621" xr:uid="{62283AB0-56CE-46D1-9D67-2EA572C45D89}"/>
    <cellStyle name="Comma 4 2 3 2 6 3" xfId="6265" xr:uid="{00000000-0005-0000-0000-000084080000}"/>
    <cellStyle name="Comma 4 2 3 2 6 3 2" xfId="14694" xr:uid="{A52F5492-F20D-4D62-A2EA-D34887891C3B}"/>
    <cellStyle name="Comma 4 2 3 2 6 4" xfId="10476" xr:uid="{A45EA45E-8C57-4C3C-B6E3-944BAAE75EEE}"/>
    <cellStyle name="Comma 4 2 3 2 7" xfId="2392" xr:uid="{00000000-0005-0000-0000-000085080000}"/>
    <cellStyle name="Comma 4 2 3 2 7 2" xfId="6678" xr:uid="{00000000-0005-0000-0000-000086080000}"/>
    <cellStyle name="Comma 4 2 3 2 7 2 2" xfId="15107" xr:uid="{900D627E-42A9-4B0E-AED8-5852A9C0208E}"/>
    <cellStyle name="Comma 4 2 3 2 7 3" xfId="10889" xr:uid="{3C71720D-DC97-42A0-AE59-F28C29C126D0}"/>
    <cellStyle name="Comma 4 2 3 2 8" xfId="2373" xr:uid="{00000000-0005-0000-0000-000087080000}"/>
    <cellStyle name="Comma 4 2 3 2 9" xfId="2770" xr:uid="{00000000-0005-0000-0000-000088080000}"/>
    <cellStyle name="Comma 4 2 3 2 9 2" xfId="6995" xr:uid="{00000000-0005-0000-0000-000089080000}"/>
    <cellStyle name="Comma 4 2 3 2 9 2 2" xfId="15424" xr:uid="{5A45A9F8-9958-474A-987B-EA46E8604B64}"/>
    <cellStyle name="Comma 4 2 3 2 9 3" xfId="11206" xr:uid="{10EC85F9-A25B-4394-A6D3-EDE8DAE9AF28}"/>
    <cellStyle name="Comma 4 2 3 3" xfId="139" xr:uid="{00000000-0005-0000-0000-00008A080000}"/>
    <cellStyle name="Comma 4 2 3 3 10" xfId="8825" xr:uid="{D77255AC-5FBC-436A-8D9D-5D6768F95980}"/>
    <cellStyle name="Comma 4 2 3 3 2" xfId="678" xr:uid="{00000000-0005-0000-0000-00008B080000}"/>
    <cellStyle name="Comma 4 2 3 3 2 2" xfId="2949" xr:uid="{00000000-0005-0000-0000-00008C080000}"/>
    <cellStyle name="Comma 4 2 3 3 2 2 2" xfId="7173" xr:uid="{00000000-0005-0000-0000-00008D080000}"/>
    <cellStyle name="Comma 4 2 3 3 2 2 2 2" xfId="15602" xr:uid="{7A885479-EA98-40C3-9180-14109166C3F5}"/>
    <cellStyle name="Comma 4 2 3 3 2 2 3" xfId="11384" xr:uid="{35DF4E06-B225-4828-9354-55BEBCAD46F2}"/>
    <cellStyle name="Comma 4 2 3 3 2 3" xfId="5028" xr:uid="{00000000-0005-0000-0000-00008E080000}"/>
    <cellStyle name="Comma 4 2 3 3 2 3 2" xfId="13457" xr:uid="{1EF25592-D141-4DC3-AF46-35CCB9E504F0}"/>
    <cellStyle name="Comma 4 2 3 3 2 4" xfId="9239" xr:uid="{88175CD1-FFAD-468A-B276-99576924E40D}"/>
    <cellStyle name="Comma 4 2 3 3 3" xfId="1131" xr:uid="{00000000-0005-0000-0000-00008F080000}"/>
    <cellStyle name="Comma 4 2 3 3 3 2" xfId="3362" xr:uid="{00000000-0005-0000-0000-000090080000}"/>
    <cellStyle name="Comma 4 2 3 3 3 2 2" xfId="7586" xr:uid="{00000000-0005-0000-0000-000091080000}"/>
    <cellStyle name="Comma 4 2 3 3 3 2 2 2" xfId="16015" xr:uid="{C55DD874-5390-4108-9479-CCAC81197BEF}"/>
    <cellStyle name="Comma 4 2 3 3 3 2 3" xfId="11797" xr:uid="{AB2C35A7-01D6-4544-8A55-0AD9C1881DA3}"/>
    <cellStyle name="Comma 4 2 3 3 3 3" xfId="5441" xr:uid="{00000000-0005-0000-0000-000092080000}"/>
    <cellStyle name="Comma 4 2 3 3 3 3 2" xfId="13870" xr:uid="{23ACFC60-FA8B-4573-BF80-07B8C0373072}"/>
    <cellStyle name="Comma 4 2 3 3 3 4" xfId="9652" xr:uid="{F5FDCAB1-3E6E-4D52-BF1D-411AFF4C57AF}"/>
    <cellStyle name="Comma 4 2 3 3 4" xfId="1545" xr:uid="{00000000-0005-0000-0000-000093080000}"/>
    <cellStyle name="Comma 4 2 3 3 4 2" xfId="3775" xr:uid="{00000000-0005-0000-0000-000094080000}"/>
    <cellStyle name="Comma 4 2 3 3 4 2 2" xfId="7999" xr:uid="{00000000-0005-0000-0000-000095080000}"/>
    <cellStyle name="Comma 4 2 3 3 4 2 2 2" xfId="16428" xr:uid="{128297BE-C899-44AF-912C-7D5503725BD5}"/>
    <cellStyle name="Comma 4 2 3 3 4 2 3" xfId="12210" xr:uid="{DD9DC72B-0B98-4FD5-9D29-E2E82EBCF326}"/>
    <cellStyle name="Comma 4 2 3 3 4 3" xfId="5854" xr:uid="{00000000-0005-0000-0000-000096080000}"/>
    <cellStyle name="Comma 4 2 3 3 4 3 2" xfId="14283" xr:uid="{FCBF8673-2393-42FC-8A3C-6EF68B7E6E56}"/>
    <cellStyle name="Comma 4 2 3 3 4 4" xfId="10065" xr:uid="{312755AF-6AC3-477E-9698-AA637BC311F9}"/>
    <cellStyle name="Comma 4 2 3 3 5" xfId="1959" xr:uid="{00000000-0005-0000-0000-000097080000}"/>
    <cellStyle name="Comma 4 2 3 3 5 2" xfId="4188" xr:uid="{00000000-0005-0000-0000-000098080000}"/>
    <cellStyle name="Comma 4 2 3 3 5 2 2" xfId="8412" xr:uid="{00000000-0005-0000-0000-000099080000}"/>
    <cellStyle name="Comma 4 2 3 3 5 2 2 2" xfId="16841" xr:uid="{155E3D62-5BB0-4B79-B228-7B0C14539DF6}"/>
    <cellStyle name="Comma 4 2 3 3 5 2 3" xfId="12623" xr:uid="{C46480C9-B2BF-418B-9814-CA2A9638DF93}"/>
    <cellStyle name="Comma 4 2 3 3 5 3" xfId="6267" xr:uid="{00000000-0005-0000-0000-00009A080000}"/>
    <cellStyle name="Comma 4 2 3 3 5 3 2" xfId="14696" xr:uid="{CCF28BA1-12C5-4DFF-8199-193F098C7E2C}"/>
    <cellStyle name="Comma 4 2 3 3 5 4" xfId="10478" xr:uid="{76B6FE3F-8D7E-4C10-810D-8ED3ECFF3CC2}"/>
    <cellStyle name="Comma 4 2 3 3 6" xfId="2394" xr:uid="{00000000-0005-0000-0000-00009B080000}"/>
    <cellStyle name="Comma 4 2 3 3 6 2" xfId="6680" xr:uid="{00000000-0005-0000-0000-00009C080000}"/>
    <cellStyle name="Comma 4 2 3 3 6 2 2" xfId="15109" xr:uid="{8D8EBBD2-3D9D-43B3-9BAF-0F38EA2CB6EB}"/>
    <cellStyle name="Comma 4 2 3 3 6 3" xfId="10891" xr:uid="{26BE4AF6-7232-4764-A4A3-64438E9D8485}"/>
    <cellStyle name="Comma 4 2 3 3 7" xfId="2371" xr:uid="{00000000-0005-0000-0000-00009D080000}"/>
    <cellStyle name="Comma 4 2 3 3 8" xfId="2772" xr:uid="{00000000-0005-0000-0000-00009E080000}"/>
    <cellStyle name="Comma 4 2 3 3 8 2" xfId="6997" xr:uid="{00000000-0005-0000-0000-00009F080000}"/>
    <cellStyle name="Comma 4 2 3 3 8 2 2" xfId="15426" xr:uid="{9DBE096D-E597-4931-A57C-7EA82184F68D}"/>
    <cellStyle name="Comma 4 2 3 3 8 3" xfId="11208" xr:uid="{B02D63FF-297E-49F6-B74C-642D69467DF4}"/>
    <cellStyle name="Comma 4 2 3 3 9" xfId="4614" xr:uid="{00000000-0005-0000-0000-0000A0080000}"/>
    <cellStyle name="Comma 4 2 3 3 9 2" xfId="13043" xr:uid="{B1454AB8-26FD-461E-8138-3E65E6CDD658}"/>
    <cellStyle name="Comma 4 2 3 4" xfId="675" xr:uid="{00000000-0005-0000-0000-0000A1080000}"/>
    <cellStyle name="Comma 4 2 3 4 2" xfId="2946" xr:uid="{00000000-0005-0000-0000-0000A2080000}"/>
    <cellStyle name="Comma 4 2 3 4 2 2" xfId="7170" xr:uid="{00000000-0005-0000-0000-0000A3080000}"/>
    <cellStyle name="Comma 4 2 3 4 2 2 2" xfId="15599" xr:uid="{B9407876-A999-4AA8-AC1B-C3592C6BCEF2}"/>
    <cellStyle name="Comma 4 2 3 4 2 3" xfId="11381" xr:uid="{06370440-194A-47E6-A8FC-6831CF702868}"/>
    <cellStyle name="Comma 4 2 3 4 3" xfId="5025" xr:uid="{00000000-0005-0000-0000-0000A4080000}"/>
    <cellStyle name="Comma 4 2 3 4 3 2" xfId="13454" xr:uid="{65B09471-92AE-4C26-871D-F8E18599721E}"/>
    <cellStyle name="Comma 4 2 3 4 4" xfId="9236" xr:uid="{803422F8-6F2D-42B3-AC82-FE0FE5059210}"/>
    <cellStyle name="Comma 4 2 3 5" xfId="1128" xr:uid="{00000000-0005-0000-0000-0000A5080000}"/>
    <cellStyle name="Comma 4 2 3 5 2" xfId="3359" xr:uid="{00000000-0005-0000-0000-0000A6080000}"/>
    <cellStyle name="Comma 4 2 3 5 2 2" xfId="7583" xr:uid="{00000000-0005-0000-0000-0000A7080000}"/>
    <cellStyle name="Comma 4 2 3 5 2 2 2" xfId="16012" xr:uid="{C5F3389B-676B-4588-8D98-56A5B7DE857F}"/>
    <cellStyle name="Comma 4 2 3 5 2 3" xfId="11794" xr:uid="{5FB5BA8F-A4D2-4AE0-8E4B-DBC672104BAD}"/>
    <cellStyle name="Comma 4 2 3 5 3" xfId="5438" xr:uid="{00000000-0005-0000-0000-0000A8080000}"/>
    <cellStyle name="Comma 4 2 3 5 3 2" xfId="13867" xr:uid="{E18D8431-235D-4728-B8A1-E554788857BB}"/>
    <cellStyle name="Comma 4 2 3 5 4" xfId="9649" xr:uid="{89EFBDE3-8747-4405-85D5-5933B00A6F72}"/>
    <cellStyle name="Comma 4 2 3 6" xfId="1542" xr:uid="{00000000-0005-0000-0000-0000A9080000}"/>
    <cellStyle name="Comma 4 2 3 6 2" xfId="3772" xr:uid="{00000000-0005-0000-0000-0000AA080000}"/>
    <cellStyle name="Comma 4 2 3 6 2 2" xfId="7996" xr:uid="{00000000-0005-0000-0000-0000AB080000}"/>
    <cellStyle name="Comma 4 2 3 6 2 2 2" xfId="16425" xr:uid="{124D719D-4D4F-4A4E-AE77-8ED89CEDC773}"/>
    <cellStyle name="Comma 4 2 3 6 2 3" xfId="12207" xr:uid="{0E138EF7-AA09-4AB3-9A8F-B329E42DC91C}"/>
    <cellStyle name="Comma 4 2 3 6 3" xfId="5851" xr:uid="{00000000-0005-0000-0000-0000AC080000}"/>
    <cellStyle name="Comma 4 2 3 6 3 2" xfId="14280" xr:uid="{843F535C-61E1-4A48-9F8F-1E33D114ED7C}"/>
    <cellStyle name="Comma 4 2 3 6 4" xfId="10062" xr:uid="{E33297B4-66AA-43A9-ADF3-2A890E7A9595}"/>
    <cellStyle name="Comma 4 2 3 7" xfId="1956" xr:uid="{00000000-0005-0000-0000-0000AD080000}"/>
    <cellStyle name="Comma 4 2 3 7 2" xfId="4185" xr:uid="{00000000-0005-0000-0000-0000AE080000}"/>
    <cellStyle name="Comma 4 2 3 7 2 2" xfId="8409" xr:uid="{00000000-0005-0000-0000-0000AF080000}"/>
    <cellStyle name="Comma 4 2 3 7 2 2 2" xfId="16838" xr:uid="{37056366-38ED-4EDC-9E1B-80A72A67B1BA}"/>
    <cellStyle name="Comma 4 2 3 7 2 3" xfId="12620" xr:uid="{F21B7360-2276-4FE1-B21D-322626487113}"/>
    <cellStyle name="Comma 4 2 3 7 3" xfId="6264" xr:uid="{00000000-0005-0000-0000-0000B0080000}"/>
    <cellStyle name="Comma 4 2 3 7 3 2" xfId="14693" xr:uid="{0A320D7F-EFD8-41C3-B4DE-15D20E9B1A0B}"/>
    <cellStyle name="Comma 4 2 3 7 4" xfId="10475" xr:uid="{D01587DA-1744-421B-96A6-44352496C308}"/>
    <cellStyle name="Comma 4 2 3 8" xfId="2391" xr:uid="{00000000-0005-0000-0000-0000B1080000}"/>
    <cellStyle name="Comma 4 2 3 8 2" xfId="6677" xr:uid="{00000000-0005-0000-0000-0000B2080000}"/>
    <cellStyle name="Comma 4 2 3 8 2 2" xfId="15106" xr:uid="{D9C2725D-B2BD-457C-9645-FA01FC5B97E2}"/>
    <cellStyle name="Comma 4 2 3 8 3" xfId="10888" xr:uid="{D8E2580D-8DA8-4780-8827-861C3A782CAF}"/>
    <cellStyle name="Comma 4 2 3 9" xfId="2374" xr:uid="{00000000-0005-0000-0000-0000B3080000}"/>
    <cellStyle name="Comma 4 2 4" xfId="140" xr:uid="{00000000-0005-0000-0000-0000B4080000}"/>
    <cellStyle name="Comma 4 2 4 10" xfId="4615" xr:uid="{00000000-0005-0000-0000-0000B5080000}"/>
    <cellStyle name="Comma 4 2 4 10 2" xfId="13044" xr:uid="{EB233AFB-0A06-4724-A268-339C46E1D85E}"/>
    <cellStyle name="Comma 4 2 4 11" xfId="8826" xr:uid="{05E03A96-0B5B-4D67-A3D2-8D24960E97A2}"/>
    <cellStyle name="Comma 4 2 4 2" xfId="141" xr:uid="{00000000-0005-0000-0000-0000B6080000}"/>
    <cellStyle name="Comma 4 2 4 2 10" xfId="8827" xr:uid="{D4EB1314-9EB1-4B01-8221-B4BAF9100A9C}"/>
    <cellStyle name="Comma 4 2 4 2 2" xfId="680" xr:uid="{00000000-0005-0000-0000-0000B7080000}"/>
    <cellStyle name="Comma 4 2 4 2 2 2" xfId="2951" xr:uid="{00000000-0005-0000-0000-0000B8080000}"/>
    <cellStyle name="Comma 4 2 4 2 2 2 2" xfId="7175" xr:uid="{00000000-0005-0000-0000-0000B9080000}"/>
    <cellStyle name="Comma 4 2 4 2 2 2 2 2" xfId="15604" xr:uid="{219FBD61-E72F-4A9B-9BD6-EF25B31FA7C7}"/>
    <cellStyle name="Comma 4 2 4 2 2 2 3" xfId="11386" xr:uid="{DD9DB1A1-309E-45FD-9CD0-829FE91FCFF4}"/>
    <cellStyle name="Comma 4 2 4 2 2 3" xfId="5030" xr:uid="{00000000-0005-0000-0000-0000BA080000}"/>
    <cellStyle name="Comma 4 2 4 2 2 3 2" xfId="13459" xr:uid="{5A39C121-B218-471F-B0E1-E91455E821F4}"/>
    <cellStyle name="Comma 4 2 4 2 2 4" xfId="9241" xr:uid="{FC0BE94D-15C5-472F-A64D-DE3AE9A85BBE}"/>
    <cellStyle name="Comma 4 2 4 2 3" xfId="1133" xr:uid="{00000000-0005-0000-0000-0000BB080000}"/>
    <cellStyle name="Comma 4 2 4 2 3 2" xfId="3364" xr:uid="{00000000-0005-0000-0000-0000BC080000}"/>
    <cellStyle name="Comma 4 2 4 2 3 2 2" xfId="7588" xr:uid="{00000000-0005-0000-0000-0000BD080000}"/>
    <cellStyle name="Comma 4 2 4 2 3 2 2 2" xfId="16017" xr:uid="{36CEB69B-9773-4531-B51C-A49C2927A717}"/>
    <cellStyle name="Comma 4 2 4 2 3 2 3" xfId="11799" xr:uid="{9CE1C890-82E1-44BB-A029-C4A8D1032694}"/>
    <cellStyle name="Comma 4 2 4 2 3 3" xfId="5443" xr:uid="{00000000-0005-0000-0000-0000BE080000}"/>
    <cellStyle name="Comma 4 2 4 2 3 3 2" xfId="13872" xr:uid="{7DC15B57-6650-4972-8B64-975D6A80A78D}"/>
    <cellStyle name="Comma 4 2 4 2 3 4" xfId="9654" xr:uid="{3AD6DA32-EB56-4801-92C0-46C03A7B9ED9}"/>
    <cellStyle name="Comma 4 2 4 2 4" xfId="1547" xr:uid="{00000000-0005-0000-0000-0000BF080000}"/>
    <cellStyle name="Comma 4 2 4 2 4 2" xfId="3777" xr:uid="{00000000-0005-0000-0000-0000C0080000}"/>
    <cellStyle name="Comma 4 2 4 2 4 2 2" xfId="8001" xr:uid="{00000000-0005-0000-0000-0000C1080000}"/>
    <cellStyle name="Comma 4 2 4 2 4 2 2 2" xfId="16430" xr:uid="{208AEF00-661A-4913-8174-905F24399189}"/>
    <cellStyle name="Comma 4 2 4 2 4 2 3" xfId="12212" xr:uid="{1152CE97-69AF-42D8-8940-F14622AC5AC5}"/>
    <cellStyle name="Comma 4 2 4 2 4 3" xfId="5856" xr:uid="{00000000-0005-0000-0000-0000C2080000}"/>
    <cellStyle name="Comma 4 2 4 2 4 3 2" xfId="14285" xr:uid="{BE9957F8-C365-4C14-B65D-BBDB9884E1A8}"/>
    <cellStyle name="Comma 4 2 4 2 4 4" xfId="10067" xr:uid="{A853CE69-51CF-4EB7-AE8C-0B6E43659644}"/>
    <cellStyle name="Comma 4 2 4 2 5" xfId="1961" xr:uid="{00000000-0005-0000-0000-0000C3080000}"/>
    <cellStyle name="Comma 4 2 4 2 5 2" xfId="4190" xr:uid="{00000000-0005-0000-0000-0000C4080000}"/>
    <cellStyle name="Comma 4 2 4 2 5 2 2" xfId="8414" xr:uid="{00000000-0005-0000-0000-0000C5080000}"/>
    <cellStyle name="Comma 4 2 4 2 5 2 2 2" xfId="16843" xr:uid="{383AC768-5E44-4F1F-8B88-0ACE887F9340}"/>
    <cellStyle name="Comma 4 2 4 2 5 2 3" xfId="12625" xr:uid="{5A602129-6896-4206-AFE1-CD898A05E4DA}"/>
    <cellStyle name="Comma 4 2 4 2 5 3" xfId="6269" xr:uid="{00000000-0005-0000-0000-0000C6080000}"/>
    <cellStyle name="Comma 4 2 4 2 5 3 2" xfId="14698" xr:uid="{F0662DFF-D121-4BF4-B82D-05690DF65A63}"/>
    <cellStyle name="Comma 4 2 4 2 5 4" xfId="10480" xr:uid="{30FE4148-C20D-47B6-B6C5-417997724F9D}"/>
    <cellStyle name="Comma 4 2 4 2 6" xfId="2396" xr:uid="{00000000-0005-0000-0000-0000C7080000}"/>
    <cellStyle name="Comma 4 2 4 2 6 2" xfId="6682" xr:uid="{00000000-0005-0000-0000-0000C8080000}"/>
    <cellStyle name="Comma 4 2 4 2 6 2 2" xfId="15111" xr:uid="{629A1B5B-C698-4E15-816E-81F827FABAE2}"/>
    <cellStyle name="Comma 4 2 4 2 6 3" xfId="10893" xr:uid="{1BD2BD05-BD2B-4F86-B421-A396B202D768}"/>
    <cellStyle name="Comma 4 2 4 2 7" xfId="2369" xr:uid="{00000000-0005-0000-0000-0000C9080000}"/>
    <cellStyle name="Comma 4 2 4 2 8" xfId="2774" xr:uid="{00000000-0005-0000-0000-0000CA080000}"/>
    <cellStyle name="Comma 4 2 4 2 8 2" xfId="6999" xr:uid="{00000000-0005-0000-0000-0000CB080000}"/>
    <cellStyle name="Comma 4 2 4 2 8 2 2" xfId="15428" xr:uid="{9B357DA6-EEED-4FD7-9742-CDE85CD5B2E7}"/>
    <cellStyle name="Comma 4 2 4 2 8 3" xfId="11210" xr:uid="{3EC5C628-88CB-4944-8D22-4110A0CE10D9}"/>
    <cellStyle name="Comma 4 2 4 2 9" xfId="4616" xr:uid="{00000000-0005-0000-0000-0000CC080000}"/>
    <cellStyle name="Comma 4 2 4 2 9 2" xfId="13045" xr:uid="{2AB1EE91-ADCA-43D2-9B7B-67BEB15A8DAE}"/>
    <cellStyle name="Comma 4 2 4 3" xfId="679" xr:uid="{00000000-0005-0000-0000-0000CD080000}"/>
    <cellStyle name="Comma 4 2 4 3 2" xfId="2950" xr:uid="{00000000-0005-0000-0000-0000CE080000}"/>
    <cellStyle name="Comma 4 2 4 3 2 2" xfId="7174" xr:uid="{00000000-0005-0000-0000-0000CF080000}"/>
    <cellStyle name="Comma 4 2 4 3 2 2 2" xfId="15603" xr:uid="{2A29A974-3DC2-41F6-ADBE-D498D5053746}"/>
    <cellStyle name="Comma 4 2 4 3 2 3" xfId="11385" xr:uid="{755DA32D-67A4-4C0F-8ED4-2D2391683C70}"/>
    <cellStyle name="Comma 4 2 4 3 3" xfId="5029" xr:uid="{00000000-0005-0000-0000-0000D0080000}"/>
    <cellStyle name="Comma 4 2 4 3 3 2" xfId="13458" xr:uid="{D4F5207C-B03F-40D0-B5DF-3555B7EC8C2D}"/>
    <cellStyle name="Comma 4 2 4 3 4" xfId="9240" xr:uid="{55CB1074-5F57-4B16-926B-B61F7D0D76D3}"/>
    <cellStyle name="Comma 4 2 4 4" xfId="1132" xr:uid="{00000000-0005-0000-0000-0000D1080000}"/>
    <cellStyle name="Comma 4 2 4 4 2" xfId="3363" xr:uid="{00000000-0005-0000-0000-0000D2080000}"/>
    <cellStyle name="Comma 4 2 4 4 2 2" xfId="7587" xr:uid="{00000000-0005-0000-0000-0000D3080000}"/>
    <cellStyle name="Comma 4 2 4 4 2 2 2" xfId="16016" xr:uid="{5203F0F2-D916-4D99-ABCC-DCBF9D49DBC8}"/>
    <cellStyle name="Comma 4 2 4 4 2 3" xfId="11798" xr:uid="{3D6625A0-9123-4C76-B260-293A400AF002}"/>
    <cellStyle name="Comma 4 2 4 4 3" xfId="5442" xr:uid="{00000000-0005-0000-0000-0000D4080000}"/>
    <cellStyle name="Comma 4 2 4 4 3 2" xfId="13871" xr:uid="{46CA4D15-5A2F-4654-945D-5F6B003A813D}"/>
    <cellStyle name="Comma 4 2 4 4 4" xfId="9653" xr:uid="{77FB880F-2076-4E3F-B2A3-5A47C76CA30E}"/>
    <cellStyle name="Comma 4 2 4 5" xfId="1546" xr:uid="{00000000-0005-0000-0000-0000D5080000}"/>
    <cellStyle name="Comma 4 2 4 5 2" xfId="3776" xr:uid="{00000000-0005-0000-0000-0000D6080000}"/>
    <cellStyle name="Comma 4 2 4 5 2 2" xfId="8000" xr:uid="{00000000-0005-0000-0000-0000D7080000}"/>
    <cellStyle name="Comma 4 2 4 5 2 2 2" xfId="16429" xr:uid="{1710946E-4836-425F-BA13-D0FB0AF9C66C}"/>
    <cellStyle name="Comma 4 2 4 5 2 3" xfId="12211" xr:uid="{C21A996F-DF2C-4C9D-93B3-B39D4A7CEEE4}"/>
    <cellStyle name="Comma 4 2 4 5 3" xfId="5855" xr:uid="{00000000-0005-0000-0000-0000D8080000}"/>
    <cellStyle name="Comma 4 2 4 5 3 2" xfId="14284" xr:uid="{A1B561CA-45AB-4139-85D1-467FA3CAED21}"/>
    <cellStyle name="Comma 4 2 4 5 4" xfId="10066" xr:uid="{5B3D230C-1DF3-46CF-8D53-50CD1A13A818}"/>
    <cellStyle name="Comma 4 2 4 6" xfId="1960" xr:uid="{00000000-0005-0000-0000-0000D9080000}"/>
    <cellStyle name="Comma 4 2 4 6 2" xfId="4189" xr:uid="{00000000-0005-0000-0000-0000DA080000}"/>
    <cellStyle name="Comma 4 2 4 6 2 2" xfId="8413" xr:uid="{00000000-0005-0000-0000-0000DB080000}"/>
    <cellStyle name="Comma 4 2 4 6 2 2 2" xfId="16842" xr:uid="{73409873-A103-4801-9BCB-F73117BFAFD3}"/>
    <cellStyle name="Comma 4 2 4 6 2 3" xfId="12624" xr:uid="{0D34C199-DC9D-425C-BDA3-8802EE68277F}"/>
    <cellStyle name="Comma 4 2 4 6 3" xfId="6268" xr:uid="{00000000-0005-0000-0000-0000DC080000}"/>
    <cellStyle name="Comma 4 2 4 6 3 2" xfId="14697" xr:uid="{49C334C8-2966-4A23-B4AE-C01B1FEB0B21}"/>
    <cellStyle name="Comma 4 2 4 6 4" xfId="10479" xr:uid="{DD955E3A-0DF4-4CB7-A164-5AA3C58DB6C2}"/>
    <cellStyle name="Comma 4 2 4 7" xfId="2395" xr:uid="{00000000-0005-0000-0000-0000DD080000}"/>
    <cellStyle name="Comma 4 2 4 7 2" xfId="6681" xr:uid="{00000000-0005-0000-0000-0000DE080000}"/>
    <cellStyle name="Comma 4 2 4 7 2 2" xfId="15110" xr:uid="{99A31001-869C-4DF3-B40A-D0A5379B43AB}"/>
    <cellStyle name="Comma 4 2 4 7 3" xfId="10892" xr:uid="{2B4A5431-A36E-4040-871F-9F323FF8AB0F}"/>
    <cellStyle name="Comma 4 2 4 8" xfId="2370" xr:uid="{00000000-0005-0000-0000-0000DF080000}"/>
    <cellStyle name="Comma 4 2 4 9" xfId="2773" xr:uid="{00000000-0005-0000-0000-0000E0080000}"/>
    <cellStyle name="Comma 4 2 4 9 2" xfId="6998" xr:uid="{00000000-0005-0000-0000-0000E1080000}"/>
    <cellStyle name="Comma 4 2 4 9 2 2" xfId="15427" xr:uid="{25A9AB0C-679E-4A8E-9F36-2BFECC813FA6}"/>
    <cellStyle name="Comma 4 2 4 9 3" xfId="11209" xr:uid="{B9C3AD9E-AC05-4911-9255-48F0C8D88477}"/>
    <cellStyle name="Comma 4 2 5" xfId="142" xr:uid="{00000000-0005-0000-0000-0000E2080000}"/>
    <cellStyle name="Comma 4 2 5 10" xfId="8828" xr:uid="{96414DFB-D752-4832-A6C3-DD81DCE433FF}"/>
    <cellStyle name="Comma 4 2 5 2" xfId="681" xr:uid="{00000000-0005-0000-0000-0000E3080000}"/>
    <cellStyle name="Comma 4 2 5 2 2" xfId="2952" xr:uid="{00000000-0005-0000-0000-0000E4080000}"/>
    <cellStyle name="Comma 4 2 5 2 2 2" xfId="7176" xr:uid="{00000000-0005-0000-0000-0000E5080000}"/>
    <cellStyle name="Comma 4 2 5 2 2 2 2" xfId="15605" xr:uid="{CE849681-9DB0-4868-882E-FAA23B63F8F0}"/>
    <cellStyle name="Comma 4 2 5 2 2 3" xfId="11387" xr:uid="{8C3ED933-B3A4-4DE7-910A-18D20EEEEFC1}"/>
    <cellStyle name="Comma 4 2 5 2 3" xfId="5031" xr:uid="{00000000-0005-0000-0000-0000E6080000}"/>
    <cellStyle name="Comma 4 2 5 2 3 2" xfId="13460" xr:uid="{8979DA63-8E5E-47AF-8A44-E17F2A1461BB}"/>
    <cellStyle name="Comma 4 2 5 2 4" xfId="9242" xr:uid="{611890FD-C545-4C4F-9D55-EAB45BD288BD}"/>
    <cellStyle name="Comma 4 2 5 3" xfId="1134" xr:uid="{00000000-0005-0000-0000-0000E7080000}"/>
    <cellStyle name="Comma 4 2 5 3 2" xfId="3365" xr:uid="{00000000-0005-0000-0000-0000E8080000}"/>
    <cellStyle name="Comma 4 2 5 3 2 2" xfId="7589" xr:uid="{00000000-0005-0000-0000-0000E9080000}"/>
    <cellStyle name="Comma 4 2 5 3 2 2 2" xfId="16018" xr:uid="{9659DC8F-3C3D-4298-A336-D4DD7DFD9A5A}"/>
    <cellStyle name="Comma 4 2 5 3 2 3" xfId="11800" xr:uid="{1C080905-072E-4877-B45C-27752332446E}"/>
    <cellStyle name="Comma 4 2 5 3 3" xfId="5444" xr:uid="{00000000-0005-0000-0000-0000EA080000}"/>
    <cellStyle name="Comma 4 2 5 3 3 2" xfId="13873" xr:uid="{7AB7B716-4E95-4E6B-A665-12EDF5B4C1C0}"/>
    <cellStyle name="Comma 4 2 5 3 4" xfId="9655" xr:uid="{3D99B399-04C8-4372-97FC-389928633A34}"/>
    <cellStyle name="Comma 4 2 5 4" xfId="1548" xr:uid="{00000000-0005-0000-0000-0000EB080000}"/>
    <cellStyle name="Comma 4 2 5 4 2" xfId="3778" xr:uid="{00000000-0005-0000-0000-0000EC080000}"/>
    <cellStyle name="Comma 4 2 5 4 2 2" xfId="8002" xr:uid="{00000000-0005-0000-0000-0000ED080000}"/>
    <cellStyle name="Comma 4 2 5 4 2 2 2" xfId="16431" xr:uid="{921516B1-5373-48B7-9CF6-19E29722404D}"/>
    <cellStyle name="Comma 4 2 5 4 2 3" xfId="12213" xr:uid="{70636FDA-A989-4BCD-B922-EB7CCDA77FBB}"/>
    <cellStyle name="Comma 4 2 5 4 3" xfId="5857" xr:uid="{00000000-0005-0000-0000-0000EE080000}"/>
    <cellStyle name="Comma 4 2 5 4 3 2" xfId="14286" xr:uid="{B32BC864-730B-49BF-BAAA-061B883BEDE2}"/>
    <cellStyle name="Comma 4 2 5 4 4" xfId="10068" xr:uid="{10D85948-3F14-46DA-B74E-740EF5FC4F65}"/>
    <cellStyle name="Comma 4 2 5 5" xfId="1962" xr:uid="{00000000-0005-0000-0000-0000EF080000}"/>
    <cellStyle name="Comma 4 2 5 5 2" xfId="4191" xr:uid="{00000000-0005-0000-0000-0000F0080000}"/>
    <cellStyle name="Comma 4 2 5 5 2 2" xfId="8415" xr:uid="{00000000-0005-0000-0000-0000F1080000}"/>
    <cellStyle name="Comma 4 2 5 5 2 2 2" xfId="16844" xr:uid="{2C5B60CC-A138-4372-9155-03FA7B23F4C5}"/>
    <cellStyle name="Comma 4 2 5 5 2 3" xfId="12626" xr:uid="{3EE41AAD-5947-43C4-A72F-940508CDC61E}"/>
    <cellStyle name="Comma 4 2 5 5 3" xfId="6270" xr:uid="{00000000-0005-0000-0000-0000F2080000}"/>
    <cellStyle name="Comma 4 2 5 5 3 2" xfId="14699" xr:uid="{3A7F438C-E8F1-4A10-B808-97C5499FAA1F}"/>
    <cellStyle name="Comma 4 2 5 5 4" xfId="10481" xr:uid="{8187F4FB-DB73-43A3-B2DC-2FAD011B526E}"/>
    <cellStyle name="Comma 4 2 5 6" xfId="2397" xr:uid="{00000000-0005-0000-0000-0000F3080000}"/>
    <cellStyle name="Comma 4 2 5 6 2" xfId="6683" xr:uid="{00000000-0005-0000-0000-0000F4080000}"/>
    <cellStyle name="Comma 4 2 5 6 2 2" xfId="15112" xr:uid="{9A23C9CE-9083-4AEA-8343-0F4B54F43733}"/>
    <cellStyle name="Comma 4 2 5 6 3" xfId="10894" xr:uid="{0E03A835-6BC3-4BDC-8768-8BC6DBD0ECE2}"/>
    <cellStyle name="Comma 4 2 5 7" xfId="2368" xr:uid="{00000000-0005-0000-0000-0000F5080000}"/>
    <cellStyle name="Comma 4 2 5 8" xfId="2775" xr:uid="{00000000-0005-0000-0000-0000F6080000}"/>
    <cellStyle name="Comma 4 2 5 8 2" xfId="7000" xr:uid="{00000000-0005-0000-0000-0000F7080000}"/>
    <cellStyle name="Comma 4 2 5 8 2 2" xfId="15429" xr:uid="{3502E07F-C763-4E6C-878A-C43C8CD9DDE7}"/>
    <cellStyle name="Comma 4 2 5 8 3" xfId="11211" xr:uid="{E23771BD-8A9D-45D6-AEDD-EDE9948BF7A0}"/>
    <cellStyle name="Comma 4 2 5 9" xfId="4617" xr:uid="{00000000-0005-0000-0000-0000F8080000}"/>
    <cellStyle name="Comma 4 2 5 9 2" xfId="13046" xr:uid="{A4CD9D82-A6C2-4378-BDEA-AA6443006E68}"/>
    <cellStyle name="Comma 4 2 6" xfId="143" xr:uid="{00000000-0005-0000-0000-0000F9080000}"/>
    <cellStyle name="Comma 4 2 6 10" xfId="8829" xr:uid="{5E688007-17ED-4324-88AD-FEFCDEC763EA}"/>
    <cellStyle name="Comma 4 2 6 2" xfId="682" xr:uid="{00000000-0005-0000-0000-0000FA080000}"/>
    <cellStyle name="Comma 4 2 6 2 2" xfId="2953" xr:uid="{00000000-0005-0000-0000-0000FB080000}"/>
    <cellStyle name="Comma 4 2 6 2 2 2" xfId="7177" xr:uid="{00000000-0005-0000-0000-0000FC080000}"/>
    <cellStyle name="Comma 4 2 6 2 2 2 2" xfId="15606" xr:uid="{76EC3E01-E478-49C9-99D5-FFCDB91EBE8E}"/>
    <cellStyle name="Comma 4 2 6 2 2 3" xfId="11388" xr:uid="{D76E5367-A0A0-4AC3-B6E7-A17F8E7BD781}"/>
    <cellStyle name="Comma 4 2 6 2 3" xfId="5032" xr:uid="{00000000-0005-0000-0000-0000FD080000}"/>
    <cellStyle name="Comma 4 2 6 2 3 2" xfId="13461" xr:uid="{30AF177A-E10F-4BC7-A324-8D06CA59DA0D}"/>
    <cellStyle name="Comma 4 2 6 2 4" xfId="9243" xr:uid="{39B3F2C1-2532-47BE-8AA6-2C9118AC10AF}"/>
    <cellStyle name="Comma 4 2 6 3" xfId="1135" xr:uid="{00000000-0005-0000-0000-0000FE080000}"/>
    <cellStyle name="Comma 4 2 6 3 2" xfId="3366" xr:uid="{00000000-0005-0000-0000-0000FF080000}"/>
    <cellStyle name="Comma 4 2 6 3 2 2" xfId="7590" xr:uid="{00000000-0005-0000-0000-000000090000}"/>
    <cellStyle name="Comma 4 2 6 3 2 2 2" xfId="16019" xr:uid="{BB046221-4123-4886-A834-46DC26ADE877}"/>
    <cellStyle name="Comma 4 2 6 3 2 3" xfId="11801" xr:uid="{6DA152FC-B988-4F52-B993-A8087A0B0DB7}"/>
    <cellStyle name="Comma 4 2 6 3 3" xfId="5445" xr:uid="{00000000-0005-0000-0000-000001090000}"/>
    <cellStyle name="Comma 4 2 6 3 3 2" xfId="13874" xr:uid="{194845E5-30C5-47C3-BD76-F27172705D3F}"/>
    <cellStyle name="Comma 4 2 6 3 4" xfId="9656" xr:uid="{71B6F3DA-78F9-4C11-8F4B-7D05728E3D41}"/>
    <cellStyle name="Comma 4 2 6 4" xfId="1549" xr:uid="{00000000-0005-0000-0000-000002090000}"/>
    <cellStyle name="Comma 4 2 6 4 2" xfId="3779" xr:uid="{00000000-0005-0000-0000-000003090000}"/>
    <cellStyle name="Comma 4 2 6 4 2 2" xfId="8003" xr:uid="{00000000-0005-0000-0000-000004090000}"/>
    <cellStyle name="Comma 4 2 6 4 2 2 2" xfId="16432" xr:uid="{D0C7A715-A207-4721-835F-9A9D0BDECDA5}"/>
    <cellStyle name="Comma 4 2 6 4 2 3" xfId="12214" xr:uid="{9D136FFF-E316-462F-8989-E9DE5A0F6C22}"/>
    <cellStyle name="Comma 4 2 6 4 3" xfId="5858" xr:uid="{00000000-0005-0000-0000-000005090000}"/>
    <cellStyle name="Comma 4 2 6 4 3 2" xfId="14287" xr:uid="{AC3A39A5-DD3D-4311-B6F1-6C7EDC2B9248}"/>
    <cellStyle name="Comma 4 2 6 4 4" xfId="10069" xr:uid="{540367B8-C461-4932-B9B2-1178D4E977B5}"/>
    <cellStyle name="Comma 4 2 6 5" xfId="1963" xr:uid="{00000000-0005-0000-0000-000006090000}"/>
    <cellStyle name="Comma 4 2 6 5 2" xfId="4192" xr:uid="{00000000-0005-0000-0000-000007090000}"/>
    <cellStyle name="Comma 4 2 6 5 2 2" xfId="8416" xr:uid="{00000000-0005-0000-0000-000008090000}"/>
    <cellStyle name="Comma 4 2 6 5 2 2 2" xfId="16845" xr:uid="{D3302422-21F8-4943-B72F-D74B8EF4C5D3}"/>
    <cellStyle name="Comma 4 2 6 5 2 3" xfId="12627" xr:uid="{3350B6E4-5459-4499-9415-EE8F38FBD70F}"/>
    <cellStyle name="Comma 4 2 6 5 3" xfId="6271" xr:uid="{00000000-0005-0000-0000-000009090000}"/>
    <cellStyle name="Comma 4 2 6 5 3 2" xfId="14700" xr:uid="{E907F0A8-DE9F-46DE-A617-F8A9B1F05F91}"/>
    <cellStyle name="Comma 4 2 6 5 4" xfId="10482" xr:uid="{B2C1FEBF-4DA8-47DA-9AE2-5022EEA3D826}"/>
    <cellStyle name="Comma 4 2 6 6" xfId="2398" xr:uid="{00000000-0005-0000-0000-00000A090000}"/>
    <cellStyle name="Comma 4 2 6 6 2" xfId="6684" xr:uid="{00000000-0005-0000-0000-00000B090000}"/>
    <cellStyle name="Comma 4 2 6 6 2 2" xfId="15113" xr:uid="{29BDB23E-5733-4FBE-85C1-B59A7752CC82}"/>
    <cellStyle name="Comma 4 2 6 6 3" xfId="10895" xr:uid="{5497C999-C788-4186-9323-69ADAB2BBA5B}"/>
    <cellStyle name="Comma 4 2 6 7" xfId="2367" xr:uid="{00000000-0005-0000-0000-00000C090000}"/>
    <cellStyle name="Comma 4 2 6 8" xfId="2776" xr:uid="{00000000-0005-0000-0000-00000D090000}"/>
    <cellStyle name="Comma 4 2 6 8 2" xfId="7001" xr:uid="{00000000-0005-0000-0000-00000E090000}"/>
    <cellStyle name="Comma 4 2 6 8 2 2" xfId="15430" xr:uid="{4A341FC6-3CFA-46C8-A6B6-12AF42D3B61A}"/>
    <cellStyle name="Comma 4 2 6 8 3" xfId="11212" xr:uid="{73ECEE32-DD0C-4CA6-9A96-B3436D05D58E}"/>
    <cellStyle name="Comma 4 2 6 9" xfId="4618" xr:uid="{00000000-0005-0000-0000-00000F090000}"/>
    <cellStyle name="Comma 4 2 6 9 2" xfId="13047" xr:uid="{8846B0D3-F379-47A3-ADFD-2ACD71C23F43}"/>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2 2" xfId="15431" xr:uid="{38F550CF-B22E-4AED-B0AB-2641116F0D8C}"/>
    <cellStyle name="Comma 4 3 2 10 3" xfId="11213" xr:uid="{2BBB598F-C23E-45CB-BA91-AD3B62F6B198}"/>
    <cellStyle name="Comma 4 3 2 11" xfId="4619" xr:uid="{00000000-0005-0000-0000-000014090000}"/>
    <cellStyle name="Comma 4 3 2 11 2" xfId="13048" xr:uid="{4D6FE3C9-B2A0-4294-A8D4-14C2CA1DCDF8}"/>
    <cellStyle name="Comma 4 3 2 12" xfId="8830" xr:uid="{EB4C6AE1-7C27-4AEA-8A25-AC1CC748B158}"/>
    <cellStyle name="Comma 4 3 2 2" xfId="146" xr:uid="{00000000-0005-0000-0000-000015090000}"/>
    <cellStyle name="Comma 4 3 2 2 10" xfId="4620" xr:uid="{00000000-0005-0000-0000-000016090000}"/>
    <cellStyle name="Comma 4 3 2 2 10 2" xfId="13049" xr:uid="{A3883757-22B8-42E8-8B96-39623B4FD3EE}"/>
    <cellStyle name="Comma 4 3 2 2 11" xfId="8831" xr:uid="{FCC08A4F-FFFD-4D1B-9EB4-8BF9EBB6EF75}"/>
    <cellStyle name="Comma 4 3 2 2 2" xfId="147" xr:uid="{00000000-0005-0000-0000-000017090000}"/>
    <cellStyle name="Comma 4 3 2 2 2 10" xfId="8832" xr:uid="{20D13A0C-FF4C-46A8-B067-1D962842B13A}"/>
    <cellStyle name="Comma 4 3 2 2 2 2" xfId="685" xr:uid="{00000000-0005-0000-0000-000018090000}"/>
    <cellStyle name="Comma 4 3 2 2 2 2 2" xfId="2956" xr:uid="{00000000-0005-0000-0000-000019090000}"/>
    <cellStyle name="Comma 4 3 2 2 2 2 2 2" xfId="7180" xr:uid="{00000000-0005-0000-0000-00001A090000}"/>
    <cellStyle name="Comma 4 3 2 2 2 2 2 2 2" xfId="15609" xr:uid="{F5CCB207-EEE4-41B9-B4B0-6DA307E0AEEB}"/>
    <cellStyle name="Comma 4 3 2 2 2 2 2 3" xfId="11391" xr:uid="{CBE47672-6769-4849-ADB1-BAF9E6BD7014}"/>
    <cellStyle name="Comma 4 3 2 2 2 2 3" xfId="5035" xr:uid="{00000000-0005-0000-0000-00001B090000}"/>
    <cellStyle name="Comma 4 3 2 2 2 2 3 2" xfId="13464" xr:uid="{D07D3EFF-643C-4DB0-9BA1-B672FA652965}"/>
    <cellStyle name="Comma 4 3 2 2 2 2 4" xfId="9246" xr:uid="{F8757918-18A9-4AF1-8ADD-E7B632049E62}"/>
    <cellStyle name="Comma 4 3 2 2 2 3" xfId="1138" xr:uid="{00000000-0005-0000-0000-00001C090000}"/>
    <cellStyle name="Comma 4 3 2 2 2 3 2" xfId="3369" xr:uid="{00000000-0005-0000-0000-00001D090000}"/>
    <cellStyle name="Comma 4 3 2 2 2 3 2 2" xfId="7593" xr:uid="{00000000-0005-0000-0000-00001E090000}"/>
    <cellStyle name="Comma 4 3 2 2 2 3 2 2 2" xfId="16022" xr:uid="{6379817F-E32D-491B-AFD0-36D045FF2CD8}"/>
    <cellStyle name="Comma 4 3 2 2 2 3 2 3" xfId="11804" xr:uid="{41CB6844-D1BC-4059-BA95-0ADEBE802762}"/>
    <cellStyle name="Comma 4 3 2 2 2 3 3" xfId="5448" xr:uid="{00000000-0005-0000-0000-00001F090000}"/>
    <cellStyle name="Comma 4 3 2 2 2 3 3 2" xfId="13877" xr:uid="{02137FC1-D6A0-40C1-9C08-DFAD6658C154}"/>
    <cellStyle name="Comma 4 3 2 2 2 3 4" xfId="9659" xr:uid="{4B857A27-45CF-4750-8638-824254BA04A1}"/>
    <cellStyle name="Comma 4 3 2 2 2 4" xfId="1552" xr:uid="{00000000-0005-0000-0000-000020090000}"/>
    <cellStyle name="Comma 4 3 2 2 2 4 2" xfId="3782" xr:uid="{00000000-0005-0000-0000-000021090000}"/>
    <cellStyle name="Comma 4 3 2 2 2 4 2 2" xfId="8006" xr:uid="{00000000-0005-0000-0000-000022090000}"/>
    <cellStyle name="Comma 4 3 2 2 2 4 2 2 2" xfId="16435" xr:uid="{B6918434-8204-4A9D-9CA9-2A33D6261FB0}"/>
    <cellStyle name="Comma 4 3 2 2 2 4 2 3" xfId="12217" xr:uid="{C2B1000D-09C4-4949-B534-CDB9504B9F82}"/>
    <cellStyle name="Comma 4 3 2 2 2 4 3" xfId="5861" xr:uid="{00000000-0005-0000-0000-000023090000}"/>
    <cellStyle name="Comma 4 3 2 2 2 4 3 2" xfId="14290" xr:uid="{CBC5F8D3-5478-4CFA-BEFC-D35FA06D3593}"/>
    <cellStyle name="Comma 4 3 2 2 2 4 4" xfId="10072" xr:uid="{D3D6EA8D-C37A-428E-9EC9-FF795F81A53E}"/>
    <cellStyle name="Comma 4 3 2 2 2 5" xfId="1966" xr:uid="{00000000-0005-0000-0000-000024090000}"/>
    <cellStyle name="Comma 4 3 2 2 2 5 2" xfId="4195" xr:uid="{00000000-0005-0000-0000-000025090000}"/>
    <cellStyle name="Comma 4 3 2 2 2 5 2 2" xfId="8419" xr:uid="{00000000-0005-0000-0000-000026090000}"/>
    <cellStyle name="Comma 4 3 2 2 2 5 2 2 2" xfId="16848" xr:uid="{CA63CE85-A14D-4D63-9882-40245D04E7E5}"/>
    <cellStyle name="Comma 4 3 2 2 2 5 2 3" xfId="12630" xr:uid="{47EA52A2-8F65-40A5-B542-96C5712086B2}"/>
    <cellStyle name="Comma 4 3 2 2 2 5 3" xfId="6274" xr:uid="{00000000-0005-0000-0000-000027090000}"/>
    <cellStyle name="Comma 4 3 2 2 2 5 3 2" xfId="14703" xr:uid="{19E17B05-2D10-470C-9AB9-621801DD3850}"/>
    <cellStyle name="Comma 4 3 2 2 2 5 4" xfId="10485" xr:uid="{77645B55-AE7A-4779-B3DE-70471561D9D6}"/>
    <cellStyle name="Comma 4 3 2 2 2 6" xfId="2401" xr:uid="{00000000-0005-0000-0000-000028090000}"/>
    <cellStyle name="Comma 4 3 2 2 2 6 2" xfId="6687" xr:uid="{00000000-0005-0000-0000-000029090000}"/>
    <cellStyle name="Comma 4 3 2 2 2 6 2 2" xfId="15116" xr:uid="{24BC513D-8D54-46A2-9450-34814DCCB110}"/>
    <cellStyle name="Comma 4 3 2 2 2 6 3" xfId="10898" xr:uid="{5F82FB52-4C0A-4FC0-8A41-58E0D48AFEB2}"/>
    <cellStyle name="Comma 4 3 2 2 2 7" xfId="2364" xr:uid="{00000000-0005-0000-0000-00002A090000}"/>
    <cellStyle name="Comma 4 3 2 2 2 8" xfId="2779" xr:uid="{00000000-0005-0000-0000-00002B090000}"/>
    <cellStyle name="Comma 4 3 2 2 2 8 2" xfId="7004" xr:uid="{00000000-0005-0000-0000-00002C090000}"/>
    <cellStyle name="Comma 4 3 2 2 2 8 2 2" xfId="15433" xr:uid="{2497C974-540A-4EB6-8EFF-89078CDC893F}"/>
    <cellStyle name="Comma 4 3 2 2 2 8 3" xfId="11215" xr:uid="{772D90A9-443C-4C27-9704-2B8723641BC9}"/>
    <cellStyle name="Comma 4 3 2 2 2 9" xfId="4621" xr:uid="{00000000-0005-0000-0000-00002D090000}"/>
    <cellStyle name="Comma 4 3 2 2 2 9 2" xfId="13050" xr:uid="{5DE9E6FD-4E31-46BF-86D3-EF8E3BD46592}"/>
    <cellStyle name="Comma 4 3 2 2 3" xfId="684" xr:uid="{00000000-0005-0000-0000-00002E090000}"/>
    <cellStyle name="Comma 4 3 2 2 3 2" xfId="2955" xr:uid="{00000000-0005-0000-0000-00002F090000}"/>
    <cellStyle name="Comma 4 3 2 2 3 2 2" xfId="7179" xr:uid="{00000000-0005-0000-0000-000030090000}"/>
    <cellStyle name="Comma 4 3 2 2 3 2 2 2" xfId="15608" xr:uid="{610669E0-777F-4492-8345-36E0D840AC1B}"/>
    <cellStyle name="Comma 4 3 2 2 3 2 3" xfId="11390" xr:uid="{A6C1C6EE-59BF-4404-89EA-4989CC6E42B4}"/>
    <cellStyle name="Comma 4 3 2 2 3 3" xfId="5034" xr:uid="{00000000-0005-0000-0000-000031090000}"/>
    <cellStyle name="Comma 4 3 2 2 3 3 2" xfId="13463" xr:uid="{FDC040C3-A38E-439A-92C9-5E3027C2C195}"/>
    <cellStyle name="Comma 4 3 2 2 3 4" xfId="9245" xr:uid="{0EB4CBA6-068A-4541-AFB3-877212172BBB}"/>
    <cellStyle name="Comma 4 3 2 2 4" xfId="1137" xr:uid="{00000000-0005-0000-0000-000032090000}"/>
    <cellStyle name="Comma 4 3 2 2 4 2" xfId="3368" xr:uid="{00000000-0005-0000-0000-000033090000}"/>
    <cellStyle name="Comma 4 3 2 2 4 2 2" xfId="7592" xr:uid="{00000000-0005-0000-0000-000034090000}"/>
    <cellStyle name="Comma 4 3 2 2 4 2 2 2" xfId="16021" xr:uid="{9B89EAF6-955F-4F0C-8EEE-700D0819D82D}"/>
    <cellStyle name="Comma 4 3 2 2 4 2 3" xfId="11803" xr:uid="{59711936-17AC-4206-A9E7-FC2FCBDB987C}"/>
    <cellStyle name="Comma 4 3 2 2 4 3" xfId="5447" xr:uid="{00000000-0005-0000-0000-000035090000}"/>
    <cellStyle name="Comma 4 3 2 2 4 3 2" xfId="13876" xr:uid="{94771381-2FC9-41B3-BE97-F8F06CC55391}"/>
    <cellStyle name="Comma 4 3 2 2 4 4" xfId="9658" xr:uid="{57D13599-64F2-4EFA-BA98-A5FA9EF19B2D}"/>
    <cellStyle name="Comma 4 3 2 2 5" xfId="1551" xr:uid="{00000000-0005-0000-0000-000036090000}"/>
    <cellStyle name="Comma 4 3 2 2 5 2" xfId="3781" xr:uid="{00000000-0005-0000-0000-000037090000}"/>
    <cellStyle name="Comma 4 3 2 2 5 2 2" xfId="8005" xr:uid="{00000000-0005-0000-0000-000038090000}"/>
    <cellStyle name="Comma 4 3 2 2 5 2 2 2" xfId="16434" xr:uid="{CB247DBF-730F-4D1C-BCE4-ACC924363CBA}"/>
    <cellStyle name="Comma 4 3 2 2 5 2 3" xfId="12216" xr:uid="{6226D071-7E72-4946-BCB7-F7A0693A60D5}"/>
    <cellStyle name="Comma 4 3 2 2 5 3" xfId="5860" xr:uid="{00000000-0005-0000-0000-000039090000}"/>
    <cellStyle name="Comma 4 3 2 2 5 3 2" xfId="14289" xr:uid="{FC43803D-6B6F-4BDA-B946-B26E359C38EE}"/>
    <cellStyle name="Comma 4 3 2 2 5 4" xfId="10071" xr:uid="{B6A34EBA-02AB-4A8C-8848-483D3FE13625}"/>
    <cellStyle name="Comma 4 3 2 2 6" xfId="1965" xr:uid="{00000000-0005-0000-0000-00003A090000}"/>
    <cellStyle name="Comma 4 3 2 2 6 2" xfId="4194" xr:uid="{00000000-0005-0000-0000-00003B090000}"/>
    <cellStyle name="Comma 4 3 2 2 6 2 2" xfId="8418" xr:uid="{00000000-0005-0000-0000-00003C090000}"/>
    <cellStyle name="Comma 4 3 2 2 6 2 2 2" xfId="16847" xr:uid="{CDFEFBF9-7681-4E28-B757-BED4E8EA7D82}"/>
    <cellStyle name="Comma 4 3 2 2 6 2 3" xfId="12629" xr:uid="{476FC5D4-55CE-4A05-9F17-F3ABEE611393}"/>
    <cellStyle name="Comma 4 3 2 2 6 3" xfId="6273" xr:uid="{00000000-0005-0000-0000-00003D090000}"/>
    <cellStyle name="Comma 4 3 2 2 6 3 2" xfId="14702" xr:uid="{B83211BE-5F77-4F6B-9856-60F90B479F6F}"/>
    <cellStyle name="Comma 4 3 2 2 6 4" xfId="10484" xr:uid="{AA9B1F77-44AE-4EF2-BFF3-0A3B4A1AC4FE}"/>
    <cellStyle name="Comma 4 3 2 2 7" xfId="2400" xr:uid="{00000000-0005-0000-0000-00003E090000}"/>
    <cellStyle name="Comma 4 3 2 2 7 2" xfId="6686" xr:uid="{00000000-0005-0000-0000-00003F090000}"/>
    <cellStyle name="Comma 4 3 2 2 7 2 2" xfId="15115" xr:uid="{18B2BF22-8904-42D0-8732-BF0C592F0E73}"/>
    <cellStyle name="Comma 4 3 2 2 7 3" xfId="10897" xr:uid="{BA123696-F0D7-4A87-95B1-DCA2467BB858}"/>
    <cellStyle name="Comma 4 3 2 2 8" xfId="2365" xr:uid="{00000000-0005-0000-0000-000040090000}"/>
    <cellStyle name="Comma 4 3 2 2 9" xfId="2778" xr:uid="{00000000-0005-0000-0000-000041090000}"/>
    <cellStyle name="Comma 4 3 2 2 9 2" xfId="7003" xr:uid="{00000000-0005-0000-0000-000042090000}"/>
    <cellStyle name="Comma 4 3 2 2 9 2 2" xfId="15432" xr:uid="{9F85A20E-2B65-4FA2-959D-2A0D529A41DC}"/>
    <cellStyle name="Comma 4 3 2 2 9 3" xfId="11214" xr:uid="{D2D579C0-43B9-4D0B-8026-C6501442B02D}"/>
    <cellStyle name="Comma 4 3 2 3" xfId="148" xr:uid="{00000000-0005-0000-0000-000043090000}"/>
    <cellStyle name="Comma 4 3 2 3 10" xfId="8833" xr:uid="{AF8C870A-320B-4C72-8CCA-78E0AD1C01AD}"/>
    <cellStyle name="Comma 4 3 2 3 2" xfId="686" xr:uid="{00000000-0005-0000-0000-000044090000}"/>
    <cellStyle name="Comma 4 3 2 3 2 2" xfId="2957" xr:uid="{00000000-0005-0000-0000-000045090000}"/>
    <cellStyle name="Comma 4 3 2 3 2 2 2" xfId="7181" xr:uid="{00000000-0005-0000-0000-000046090000}"/>
    <cellStyle name="Comma 4 3 2 3 2 2 2 2" xfId="15610" xr:uid="{800858C1-E004-4006-BC89-E15B7F737D0A}"/>
    <cellStyle name="Comma 4 3 2 3 2 2 3" xfId="11392" xr:uid="{4A21627C-D402-4292-B706-B1079AFD0CE8}"/>
    <cellStyle name="Comma 4 3 2 3 2 3" xfId="5036" xr:uid="{00000000-0005-0000-0000-000047090000}"/>
    <cellStyle name="Comma 4 3 2 3 2 3 2" xfId="13465" xr:uid="{92B5CDFC-F6DE-412B-AEED-9E13A64222CB}"/>
    <cellStyle name="Comma 4 3 2 3 2 4" xfId="9247" xr:uid="{3797915F-2471-4F35-AD18-36E51AF9B199}"/>
    <cellStyle name="Comma 4 3 2 3 3" xfId="1139" xr:uid="{00000000-0005-0000-0000-000048090000}"/>
    <cellStyle name="Comma 4 3 2 3 3 2" xfId="3370" xr:uid="{00000000-0005-0000-0000-000049090000}"/>
    <cellStyle name="Comma 4 3 2 3 3 2 2" xfId="7594" xr:uid="{00000000-0005-0000-0000-00004A090000}"/>
    <cellStyle name="Comma 4 3 2 3 3 2 2 2" xfId="16023" xr:uid="{20FA327D-801C-4C10-8D0E-183F2931F559}"/>
    <cellStyle name="Comma 4 3 2 3 3 2 3" xfId="11805" xr:uid="{6755BE2C-0F03-431D-AEBE-7F8737DE34E2}"/>
    <cellStyle name="Comma 4 3 2 3 3 3" xfId="5449" xr:uid="{00000000-0005-0000-0000-00004B090000}"/>
    <cellStyle name="Comma 4 3 2 3 3 3 2" xfId="13878" xr:uid="{BA8A2E84-43D3-49F5-A219-6967DAE808C5}"/>
    <cellStyle name="Comma 4 3 2 3 3 4" xfId="9660" xr:uid="{F0DCD858-3BFC-43D4-8355-9F926422FE10}"/>
    <cellStyle name="Comma 4 3 2 3 4" xfId="1553" xr:uid="{00000000-0005-0000-0000-00004C090000}"/>
    <cellStyle name="Comma 4 3 2 3 4 2" xfId="3783" xr:uid="{00000000-0005-0000-0000-00004D090000}"/>
    <cellStyle name="Comma 4 3 2 3 4 2 2" xfId="8007" xr:uid="{00000000-0005-0000-0000-00004E090000}"/>
    <cellStyle name="Comma 4 3 2 3 4 2 2 2" xfId="16436" xr:uid="{8E5E3D3D-63DE-4CAE-83C7-0C6B53A588BC}"/>
    <cellStyle name="Comma 4 3 2 3 4 2 3" xfId="12218" xr:uid="{6ECCBEA2-C43D-4C84-9870-AC80BA9849CE}"/>
    <cellStyle name="Comma 4 3 2 3 4 3" xfId="5862" xr:uid="{00000000-0005-0000-0000-00004F090000}"/>
    <cellStyle name="Comma 4 3 2 3 4 3 2" xfId="14291" xr:uid="{53B2555F-CCA5-499E-A2A2-8991908A68F8}"/>
    <cellStyle name="Comma 4 3 2 3 4 4" xfId="10073" xr:uid="{A74CA3F7-F02E-4ADE-89EC-8B74A9E1A2E8}"/>
    <cellStyle name="Comma 4 3 2 3 5" xfId="1967" xr:uid="{00000000-0005-0000-0000-000050090000}"/>
    <cellStyle name="Comma 4 3 2 3 5 2" xfId="4196" xr:uid="{00000000-0005-0000-0000-000051090000}"/>
    <cellStyle name="Comma 4 3 2 3 5 2 2" xfId="8420" xr:uid="{00000000-0005-0000-0000-000052090000}"/>
    <cellStyle name="Comma 4 3 2 3 5 2 2 2" xfId="16849" xr:uid="{9380CE20-7410-45C1-A771-DCD603F08631}"/>
    <cellStyle name="Comma 4 3 2 3 5 2 3" xfId="12631" xr:uid="{A661C5F5-2E05-4273-A95A-5A029B27114D}"/>
    <cellStyle name="Comma 4 3 2 3 5 3" xfId="6275" xr:uid="{00000000-0005-0000-0000-000053090000}"/>
    <cellStyle name="Comma 4 3 2 3 5 3 2" xfId="14704" xr:uid="{9907D508-26A5-4653-A1E0-1E92D0A782B0}"/>
    <cellStyle name="Comma 4 3 2 3 5 4" xfId="10486" xr:uid="{9DCE8FD2-352F-4AFE-9FE6-6B8114B568CF}"/>
    <cellStyle name="Comma 4 3 2 3 6" xfId="2402" xr:uid="{00000000-0005-0000-0000-000054090000}"/>
    <cellStyle name="Comma 4 3 2 3 6 2" xfId="6688" xr:uid="{00000000-0005-0000-0000-000055090000}"/>
    <cellStyle name="Comma 4 3 2 3 6 2 2" xfId="15117" xr:uid="{08163D82-E40C-430D-AD17-84B7CD138793}"/>
    <cellStyle name="Comma 4 3 2 3 6 3" xfId="10899" xr:uid="{2E12A390-58D7-456D-8224-09A04E798EE4}"/>
    <cellStyle name="Comma 4 3 2 3 7" xfId="2363" xr:uid="{00000000-0005-0000-0000-000056090000}"/>
    <cellStyle name="Comma 4 3 2 3 8" xfId="2780" xr:uid="{00000000-0005-0000-0000-000057090000}"/>
    <cellStyle name="Comma 4 3 2 3 8 2" xfId="7005" xr:uid="{00000000-0005-0000-0000-000058090000}"/>
    <cellStyle name="Comma 4 3 2 3 8 2 2" xfId="15434" xr:uid="{852CEB61-4AC1-4CE2-89B1-B9A7A0BC882C}"/>
    <cellStyle name="Comma 4 3 2 3 8 3" xfId="11216" xr:uid="{AF92C2C7-E45D-49AE-9BD4-E383E5E5DDC8}"/>
    <cellStyle name="Comma 4 3 2 3 9" xfId="4622" xr:uid="{00000000-0005-0000-0000-000059090000}"/>
    <cellStyle name="Comma 4 3 2 3 9 2" xfId="13051" xr:uid="{38E0835E-BBE7-4D7D-B9D2-FDA1F3E58BDF}"/>
    <cellStyle name="Comma 4 3 2 4" xfId="683" xr:uid="{00000000-0005-0000-0000-00005A090000}"/>
    <cellStyle name="Comma 4 3 2 4 2" xfId="2954" xr:uid="{00000000-0005-0000-0000-00005B090000}"/>
    <cellStyle name="Comma 4 3 2 4 2 2" xfId="7178" xr:uid="{00000000-0005-0000-0000-00005C090000}"/>
    <cellStyle name="Comma 4 3 2 4 2 2 2" xfId="15607" xr:uid="{B54181AA-7F69-4E3B-8231-D336DE4B84BC}"/>
    <cellStyle name="Comma 4 3 2 4 2 3" xfId="11389" xr:uid="{DBB9B292-D321-4B2E-B94D-F82879CB9CEF}"/>
    <cellStyle name="Comma 4 3 2 4 3" xfId="5033" xr:uid="{00000000-0005-0000-0000-00005D090000}"/>
    <cellStyle name="Comma 4 3 2 4 3 2" xfId="13462" xr:uid="{02FD7726-AA2A-4EE1-A70A-4239B6A49EA4}"/>
    <cellStyle name="Comma 4 3 2 4 4" xfId="9244" xr:uid="{EEE82962-3B0F-42C1-8EFB-9230A2CC907E}"/>
    <cellStyle name="Comma 4 3 2 5" xfId="1136" xr:uid="{00000000-0005-0000-0000-00005E090000}"/>
    <cellStyle name="Comma 4 3 2 5 2" xfId="3367" xr:uid="{00000000-0005-0000-0000-00005F090000}"/>
    <cellStyle name="Comma 4 3 2 5 2 2" xfId="7591" xr:uid="{00000000-0005-0000-0000-000060090000}"/>
    <cellStyle name="Comma 4 3 2 5 2 2 2" xfId="16020" xr:uid="{15BD53F2-780D-4D45-A678-0D1BBD17D428}"/>
    <cellStyle name="Comma 4 3 2 5 2 3" xfId="11802" xr:uid="{BCB88728-D6C8-444C-8453-1C7CFBC67729}"/>
    <cellStyle name="Comma 4 3 2 5 3" xfId="5446" xr:uid="{00000000-0005-0000-0000-000061090000}"/>
    <cellStyle name="Comma 4 3 2 5 3 2" xfId="13875" xr:uid="{CED7BF1C-4DB9-458E-B5F4-1D2AD7C2E32C}"/>
    <cellStyle name="Comma 4 3 2 5 4" xfId="9657" xr:uid="{BE041D33-0FE8-46AF-9884-42E1DBB7BAF5}"/>
    <cellStyle name="Comma 4 3 2 6" xfId="1550" xr:uid="{00000000-0005-0000-0000-000062090000}"/>
    <cellStyle name="Comma 4 3 2 6 2" xfId="3780" xr:uid="{00000000-0005-0000-0000-000063090000}"/>
    <cellStyle name="Comma 4 3 2 6 2 2" xfId="8004" xr:uid="{00000000-0005-0000-0000-000064090000}"/>
    <cellStyle name="Comma 4 3 2 6 2 2 2" xfId="16433" xr:uid="{D68D7222-44C8-4315-8939-5D04D08F3103}"/>
    <cellStyle name="Comma 4 3 2 6 2 3" xfId="12215" xr:uid="{7FD4081C-7DF7-47A9-B2AC-D68D2D1EBD1D}"/>
    <cellStyle name="Comma 4 3 2 6 3" xfId="5859" xr:uid="{00000000-0005-0000-0000-000065090000}"/>
    <cellStyle name="Comma 4 3 2 6 3 2" xfId="14288" xr:uid="{BD0637B6-51EC-4277-BF3D-E5B28C23CA39}"/>
    <cellStyle name="Comma 4 3 2 6 4" xfId="10070" xr:uid="{6D24B182-D991-4702-BCC8-3FE58FA8E2EB}"/>
    <cellStyle name="Comma 4 3 2 7" xfId="1964" xr:uid="{00000000-0005-0000-0000-000066090000}"/>
    <cellStyle name="Comma 4 3 2 7 2" xfId="4193" xr:uid="{00000000-0005-0000-0000-000067090000}"/>
    <cellStyle name="Comma 4 3 2 7 2 2" xfId="8417" xr:uid="{00000000-0005-0000-0000-000068090000}"/>
    <cellStyle name="Comma 4 3 2 7 2 2 2" xfId="16846" xr:uid="{4D4BF8E1-F957-4923-AF25-C5FB05BB7A36}"/>
    <cellStyle name="Comma 4 3 2 7 2 3" xfId="12628" xr:uid="{AE53E4C1-06FA-4CA9-868A-043362CA590A}"/>
    <cellStyle name="Comma 4 3 2 7 3" xfId="6272" xr:uid="{00000000-0005-0000-0000-000069090000}"/>
    <cellStyle name="Comma 4 3 2 7 3 2" xfId="14701" xr:uid="{684C3278-318E-43B2-9713-27B5A77A85EE}"/>
    <cellStyle name="Comma 4 3 2 7 4" xfId="10483" xr:uid="{6D26116F-A075-4A17-97A9-D74EB6FFDC07}"/>
    <cellStyle name="Comma 4 3 2 8" xfId="2399" xr:uid="{00000000-0005-0000-0000-00006A090000}"/>
    <cellStyle name="Comma 4 3 2 8 2" xfId="6685" xr:uid="{00000000-0005-0000-0000-00006B090000}"/>
    <cellStyle name="Comma 4 3 2 8 2 2" xfId="15114" xr:uid="{35D41DEF-6E05-48A0-B8E8-1D35EE734075}"/>
    <cellStyle name="Comma 4 3 2 8 3" xfId="10896" xr:uid="{08199C22-4955-4EA5-9981-13BC16CB48C7}"/>
    <cellStyle name="Comma 4 3 2 9" xfId="2366" xr:uid="{00000000-0005-0000-0000-00006C090000}"/>
    <cellStyle name="Comma 4 3 3" xfId="149" xr:uid="{00000000-0005-0000-0000-00006D090000}"/>
    <cellStyle name="Comma 4 3 3 10" xfId="4623" xr:uid="{00000000-0005-0000-0000-00006E090000}"/>
    <cellStyle name="Comma 4 3 3 10 2" xfId="13052" xr:uid="{BD5FA01A-CA8D-458F-AAA1-9BF606ABFB47}"/>
    <cellStyle name="Comma 4 3 3 11" xfId="8834" xr:uid="{4E96C640-76A1-4A6A-A213-A7339C600B42}"/>
    <cellStyle name="Comma 4 3 3 2" xfId="150" xr:uid="{00000000-0005-0000-0000-00006F090000}"/>
    <cellStyle name="Comma 4 3 3 2 10" xfId="8835" xr:uid="{808AE6DC-05CE-46F7-B165-04ACAE8578BA}"/>
    <cellStyle name="Comma 4 3 3 2 2" xfId="688" xr:uid="{00000000-0005-0000-0000-000070090000}"/>
    <cellStyle name="Comma 4 3 3 2 2 2" xfId="2959" xr:uid="{00000000-0005-0000-0000-000071090000}"/>
    <cellStyle name="Comma 4 3 3 2 2 2 2" xfId="7183" xr:uid="{00000000-0005-0000-0000-000072090000}"/>
    <cellStyle name="Comma 4 3 3 2 2 2 2 2" xfId="15612" xr:uid="{86E333F6-72FA-440A-B26C-B56DBBF8D38D}"/>
    <cellStyle name="Comma 4 3 3 2 2 2 3" xfId="11394" xr:uid="{66BC6D8B-9EAB-4952-ADE2-EC2EBDFAE7AD}"/>
    <cellStyle name="Comma 4 3 3 2 2 3" xfId="5038" xr:uid="{00000000-0005-0000-0000-000073090000}"/>
    <cellStyle name="Comma 4 3 3 2 2 3 2" xfId="13467" xr:uid="{C5719954-C4D0-4333-8B89-67AC714E6633}"/>
    <cellStyle name="Comma 4 3 3 2 2 4" xfId="9249" xr:uid="{70AB9C28-8594-45BC-B4A4-99EC0B4C63D2}"/>
    <cellStyle name="Comma 4 3 3 2 3" xfId="1141" xr:uid="{00000000-0005-0000-0000-000074090000}"/>
    <cellStyle name="Comma 4 3 3 2 3 2" xfId="3372" xr:uid="{00000000-0005-0000-0000-000075090000}"/>
    <cellStyle name="Comma 4 3 3 2 3 2 2" xfId="7596" xr:uid="{00000000-0005-0000-0000-000076090000}"/>
    <cellStyle name="Comma 4 3 3 2 3 2 2 2" xfId="16025" xr:uid="{E520555D-5F27-4E19-A230-72A84C0FF874}"/>
    <cellStyle name="Comma 4 3 3 2 3 2 3" xfId="11807" xr:uid="{DF2DA714-C866-41FC-9042-4D9A506641EC}"/>
    <cellStyle name="Comma 4 3 3 2 3 3" xfId="5451" xr:uid="{00000000-0005-0000-0000-000077090000}"/>
    <cellStyle name="Comma 4 3 3 2 3 3 2" xfId="13880" xr:uid="{B38CA917-6365-40FF-89A7-BC9B7F846FB5}"/>
    <cellStyle name="Comma 4 3 3 2 3 4" xfId="9662" xr:uid="{C0B453C3-ED98-4DF3-BC06-8A4FDE0DF586}"/>
    <cellStyle name="Comma 4 3 3 2 4" xfId="1555" xr:uid="{00000000-0005-0000-0000-000078090000}"/>
    <cellStyle name="Comma 4 3 3 2 4 2" xfId="3785" xr:uid="{00000000-0005-0000-0000-000079090000}"/>
    <cellStyle name="Comma 4 3 3 2 4 2 2" xfId="8009" xr:uid="{00000000-0005-0000-0000-00007A090000}"/>
    <cellStyle name="Comma 4 3 3 2 4 2 2 2" xfId="16438" xr:uid="{E71DC321-01F5-421F-85E0-748659722CC6}"/>
    <cellStyle name="Comma 4 3 3 2 4 2 3" xfId="12220" xr:uid="{3E566AF7-37AF-4C1D-9D4D-CD194424697C}"/>
    <cellStyle name="Comma 4 3 3 2 4 3" xfId="5864" xr:uid="{00000000-0005-0000-0000-00007B090000}"/>
    <cellStyle name="Comma 4 3 3 2 4 3 2" xfId="14293" xr:uid="{0408EA77-C681-4760-9B1F-321AC8A842B7}"/>
    <cellStyle name="Comma 4 3 3 2 4 4" xfId="10075" xr:uid="{2FB86575-6354-480B-B727-CEDFA8B25855}"/>
    <cellStyle name="Comma 4 3 3 2 5" xfId="1969" xr:uid="{00000000-0005-0000-0000-00007C090000}"/>
    <cellStyle name="Comma 4 3 3 2 5 2" xfId="4198" xr:uid="{00000000-0005-0000-0000-00007D090000}"/>
    <cellStyle name="Comma 4 3 3 2 5 2 2" xfId="8422" xr:uid="{00000000-0005-0000-0000-00007E090000}"/>
    <cellStyle name="Comma 4 3 3 2 5 2 2 2" xfId="16851" xr:uid="{FC906D68-6782-4199-8CEA-C158DD719702}"/>
    <cellStyle name="Comma 4 3 3 2 5 2 3" xfId="12633" xr:uid="{C1F8AE2D-B560-4870-B26D-8DD4685F4CA9}"/>
    <cellStyle name="Comma 4 3 3 2 5 3" xfId="6277" xr:uid="{00000000-0005-0000-0000-00007F090000}"/>
    <cellStyle name="Comma 4 3 3 2 5 3 2" xfId="14706" xr:uid="{3E6DEF91-18B9-42BF-9A18-97A83182F383}"/>
    <cellStyle name="Comma 4 3 3 2 5 4" xfId="10488" xr:uid="{4A7E3AE9-F936-43A2-A64E-733178E2C9CA}"/>
    <cellStyle name="Comma 4 3 3 2 6" xfId="2404" xr:uid="{00000000-0005-0000-0000-000080090000}"/>
    <cellStyle name="Comma 4 3 3 2 6 2" xfId="6690" xr:uid="{00000000-0005-0000-0000-000081090000}"/>
    <cellStyle name="Comma 4 3 3 2 6 2 2" xfId="15119" xr:uid="{DD6BE10A-519A-4887-BF02-51D990387F66}"/>
    <cellStyle name="Comma 4 3 3 2 6 3" xfId="10901" xr:uid="{F6DA1688-374F-4A58-9F2D-56B746044BB6}"/>
    <cellStyle name="Comma 4 3 3 2 7" xfId="2361" xr:uid="{00000000-0005-0000-0000-000082090000}"/>
    <cellStyle name="Comma 4 3 3 2 8" xfId="2782" xr:uid="{00000000-0005-0000-0000-000083090000}"/>
    <cellStyle name="Comma 4 3 3 2 8 2" xfId="7007" xr:uid="{00000000-0005-0000-0000-000084090000}"/>
    <cellStyle name="Comma 4 3 3 2 8 2 2" xfId="15436" xr:uid="{190421EB-6068-4685-9A61-9CF7D17D26F2}"/>
    <cellStyle name="Comma 4 3 3 2 8 3" xfId="11218" xr:uid="{4B17D514-4E8E-4419-9BEC-C0257215F6D8}"/>
    <cellStyle name="Comma 4 3 3 2 9" xfId="4624" xr:uid="{00000000-0005-0000-0000-000085090000}"/>
    <cellStyle name="Comma 4 3 3 2 9 2" xfId="13053" xr:uid="{554039C4-C8C5-4294-A424-7C33F30C5412}"/>
    <cellStyle name="Comma 4 3 3 3" xfId="687" xr:uid="{00000000-0005-0000-0000-000086090000}"/>
    <cellStyle name="Comma 4 3 3 3 2" xfId="2958" xr:uid="{00000000-0005-0000-0000-000087090000}"/>
    <cellStyle name="Comma 4 3 3 3 2 2" xfId="7182" xr:uid="{00000000-0005-0000-0000-000088090000}"/>
    <cellStyle name="Comma 4 3 3 3 2 2 2" xfId="15611" xr:uid="{BD9915CA-2A90-43AE-B10B-DD389E0F6165}"/>
    <cellStyle name="Comma 4 3 3 3 2 3" xfId="11393" xr:uid="{439C234D-914D-48C6-B693-2F50F705EA1F}"/>
    <cellStyle name="Comma 4 3 3 3 3" xfId="5037" xr:uid="{00000000-0005-0000-0000-000089090000}"/>
    <cellStyle name="Comma 4 3 3 3 3 2" xfId="13466" xr:uid="{10C21832-0334-4424-B7FF-4DBF71FCEBDD}"/>
    <cellStyle name="Comma 4 3 3 3 4" xfId="9248" xr:uid="{3DB1AC21-EA4C-4DA8-BEB5-CB5A8DF443F9}"/>
    <cellStyle name="Comma 4 3 3 4" xfId="1140" xr:uid="{00000000-0005-0000-0000-00008A090000}"/>
    <cellStyle name="Comma 4 3 3 4 2" xfId="3371" xr:uid="{00000000-0005-0000-0000-00008B090000}"/>
    <cellStyle name="Comma 4 3 3 4 2 2" xfId="7595" xr:uid="{00000000-0005-0000-0000-00008C090000}"/>
    <cellStyle name="Comma 4 3 3 4 2 2 2" xfId="16024" xr:uid="{8CEE71C6-C60C-42BB-A4B4-C808BD1577AB}"/>
    <cellStyle name="Comma 4 3 3 4 2 3" xfId="11806" xr:uid="{C79822AC-D85A-4D7C-BEA1-B19C44F1E89C}"/>
    <cellStyle name="Comma 4 3 3 4 3" xfId="5450" xr:uid="{00000000-0005-0000-0000-00008D090000}"/>
    <cellStyle name="Comma 4 3 3 4 3 2" xfId="13879" xr:uid="{42BFB13F-E147-4E36-A6AA-B86FE77A47B8}"/>
    <cellStyle name="Comma 4 3 3 4 4" xfId="9661" xr:uid="{D2109112-9973-4884-9578-08F9CDE5EACB}"/>
    <cellStyle name="Comma 4 3 3 5" xfId="1554" xr:uid="{00000000-0005-0000-0000-00008E090000}"/>
    <cellStyle name="Comma 4 3 3 5 2" xfId="3784" xr:uid="{00000000-0005-0000-0000-00008F090000}"/>
    <cellStyle name="Comma 4 3 3 5 2 2" xfId="8008" xr:uid="{00000000-0005-0000-0000-000090090000}"/>
    <cellStyle name="Comma 4 3 3 5 2 2 2" xfId="16437" xr:uid="{D9BB00AC-D04F-4D76-B1EB-EA2409F12DF9}"/>
    <cellStyle name="Comma 4 3 3 5 2 3" xfId="12219" xr:uid="{D80B854E-06B0-4EFE-B817-EAB91CB74180}"/>
    <cellStyle name="Comma 4 3 3 5 3" xfId="5863" xr:uid="{00000000-0005-0000-0000-000091090000}"/>
    <cellStyle name="Comma 4 3 3 5 3 2" xfId="14292" xr:uid="{40C5B199-56B4-4A20-864E-97F7C55A914F}"/>
    <cellStyle name="Comma 4 3 3 5 4" xfId="10074" xr:uid="{1148F557-3DF0-4AB4-81D0-1FE23F3FD50E}"/>
    <cellStyle name="Comma 4 3 3 6" xfId="1968" xr:uid="{00000000-0005-0000-0000-000092090000}"/>
    <cellStyle name="Comma 4 3 3 6 2" xfId="4197" xr:uid="{00000000-0005-0000-0000-000093090000}"/>
    <cellStyle name="Comma 4 3 3 6 2 2" xfId="8421" xr:uid="{00000000-0005-0000-0000-000094090000}"/>
    <cellStyle name="Comma 4 3 3 6 2 2 2" xfId="16850" xr:uid="{5FA74510-7F01-4680-8DF4-0DE493368A3E}"/>
    <cellStyle name="Comma 4 3 3 6 2 3" xfId="12632" xr:uid="{E6527657-8E9B-415D-AE99-95D4803BE5D9}"/>
    <cellStyle name="Comma 4 3 3 6 3" xfId="6276" xr:uid="{00000000-0005-0000-0000-000095090000}"/>
    <cellStyle name="Comma 4 3 3 6 3 2" xfId="14705" xr:uid="{1F82FF16-3F2F-4478-A4B6-218C42DA45A1}"/>
    <cellStyle name="Comma 4 3 3 6 4" xfId="10487" xr:uid="{3238F1ED-5BC4-4E70-A3EA-73E71FBC27B8}"/>
    <cellStyle name="Comma 4 3 3 7" xfId="2403" xr:uid="{00000000-0005-0000-0000-000096090000}"/>
    <cellStyle name="Comma 4 3 3 7 2" xfId="6689" xr:uid="{00000000-0005-0000-0000-000097090000}"/>
    <cellStyle name="Comma 4 3 3 7 2 2" xfId="15118" xr:uid="{FC986831-7678-407D-8C70-1939254EFBFB}"/>
    <cellStyle name="Comma 4 3 3 7 3" xfId="10900" xr:uid="{E1B347E6-7844-4233-8D88-85B003545FC8}"/>
    <cellStyle name="Comma 4 3 3 8" xfId="2362" xr:uid="{00000000-0005-0000-0000-000098090000}"/>
    <cellStyle name="Comma 4 3 3 9" xfId="2781" xr:uid="{00000000-0005-0000-0000-000099090000}"/>
    <cellStyle name="Comma 4 3 3 9 2" xfId="7006" xr:uid="{00000000-0005-0000-0000-00009A090000}"/>
    <cellStyle name="Comma 4 3 3 9 2 2" xfId="15435" xr:uid="{BF9974A3-4456-4490-9EE0-BC1545AA6486}"/>
    <cellStyle name="Comma 4 3 3 9 3" xfId="11217" xr:uid="{A4C0812D-DC6A-4FFA-9FC2-C7C5475BA713}"/>
    <cellStyle name="Comma 4 3 4" xfId="151" xr:uid="{00000000-0005-0000-0000-00009B090000}"/>
    <cellStyle name="Comma 4 3 4 10" xfId="8836" xr:uid="{88BC143A-B7FA-4956-841A-6C45D5DCF21F}"/>
    <cellStyle name="Comma 4 3 4 2" xfId="689" xr:uid="{00000000-0005-0000-0000-00009C090000}"/>
    <cellStyle name="Comma 4 3 4 2 2" xfId="2960" xr:uid="{00000000-0005-0000-0000-00009D090000}"/>
    <cellStyle name="Comma 4 3 4 2 2 2" xfId="7184" xr:uid="{00000000-0005-0000-0000-00009E090000}"/>
    <cellStyle name="Comma 4 3 4 2 2 2 2" xfId="15613" xr:uid="{C40AF1F9-9171-416D-8850-A327737756F4}"/>
    <cellStyle name="Comma 4 3 4 2 2 3" xfId="11395" xr:uid="{E814E303-6B23-4982-8ED5-50373643F041}"/>
    <cellStyle name="Comma 4 3 4 2 3" xfId="5039" xr:uid="{00000000-0005-0000-0000-00009F090000}"/>
    <cellStyle name="Comma 4 3 4 2 3 2" xfId="13468" xr:uid="{3AF1C177-CC84-4825-BABD-74AE7F44A7E7}"/>
    <cellStyle name="Comma 4 3 4 2 4" xfId="9250" xr:uid="{03DB691A-1058-40EA-87BA-3B7B72717428}"/>
    <cellStyle name="Comma 4 3 4 3" xfId="1142" xr:uid="{00000000-0005-0000-0000-0000A0090000}"/>
    <cellStyle name="Comma 4 3 4 3 2" xfId="3373" xr:uid="{00000000-0005-0000-0000-0000A1090000}"/>
    <cellStyle name="Comma 4 3 4 3 2 2" xfId="7597" xr:uid="{00000000-0005-0000-0000-0000A2090000}"/>
    <cellStyle name="Comma 4 3 4 3 2 2 2" xfId="16026" xr:uid="{162A453A-1F0D-4470-A24D-11434B430438}"/>
    <cellStyle name="Comma 4 3 4 3 2 3" xfId="11808" xr:uid="{C0CB90C7-30FA-4DF3-BA17-42EE7FFFEE45}"/>
    <cellStyle name="Comma 4 3 4 3 3" xfId="5452" xr:uid="{00000000-0005-0000-0000-0000A3090000}"/>
    <cellStyle name="Comma 4 3 4 3 3 2" xfId="13881" xr:uid="{8482CE73-97FC-45CD-9B92-C95585134645}"/>
    <cellStyle name="Comma 4 3 4 3 4" xfId="9663" xr:uid="{EFD828F2-1803-46D4-BAC8-280ABB98D6E5}"/>
    <cellStyle name="Comma 4 3 4 4" xfId="1556" xr:uid="{00000000-0005-0000-0000-0000A4090000}"/>
    <cellStyle name="Comma 4 3 4 4 2" xfId="3786" xr:uid="{00000000-0005-0000-0000-0000A5090000}"/>
    <cellStyle name="Comma 4 3 4 4 2 2" xfId="8010" xr:uid="{00000000-0005-0000-0000-0000A6090000}"/>
    <cellStyle name="Comma 4 3 4 4 2 2 2" xfId="16439" xr:uid="{0C2EB987-5117-411C-86FE-1ACA233474BB}"/>
    <cellStyle name="Comma 4 3 4 4 2 3" xfId="12221" xr:uid="{AA734DA3-E7E1-4433-A41C-2C216A80C3C7}"/>
    <cellStyle name="Comma 4 3 4 4 3" xfId="5865" xr:uid="{00000000-0005-0000-0000-0000A7090000}"/>
    <cellStyle name="Comma 4 3 4 4 3 2" xfId="14294" xr:uid="{52E99E46-5291-4458-923C-F17B83740E5A}"/>
    <cellStyle name="Comma 4 3 4 4 4" xfId="10076" xr:uid="{3AB15F1B-51FB-4BB6-996C-61A3309BA4B6}"/>
    <cellStyle name="Comma 4 3 4 5" xfId="1970" xr:uid="{00000000-0005-0000-0000-0000A8090000}"/>
    <cellStyle name="Comma 4 3 4 5 2" xfId="4199" xr:uid="{00000000-0005-0000-0000-0000A9090000}"/>
    <cellStyle name="Comma 4 3 4 5 2 2" xfId="8423" xr:uid="{00000000-0005-0000-0000-0000AA090000}"/>
    <cellStyle name="Comma 4 3 4 5 2 2 2" xfId="16852" xr:uid="{366367A8-CFD2-4573-97C7-33229BCB824E}"/>
    <cellStyle name="Comma 4 3 4 5 2 3" xfId="12634" xr:uid="{6521434F-2CBC-4BD4-9773-F812CE417372}"/>
    <cellStyle name="Comma 4 3 4 5 3" xfId="6278" xr:uid="{00000000-0005-0000-0000-0000AB090000}"/>
    <cellStyle name="Comma 4 3 4 5 3 2" xfId="14707" xr:uid="{A157192F-258E-454F-AF99-5F5B4BE72AD3}"/>
    <cellStyle name="Comma 4 3 4 5 4" xfId="10489" xr:uid="{B528438D-D8F0-4F5F-9FCE-73B592ABE0B6}"/>
    <cellStyle name="Comma 4 3 4 6" xfId="2405" xr:uid="{00000000-0005-0000-0000-0000AC090000}"/>
    <cellStyle name="Comma 4 3 4 6 2" xfId="6691" xr:uid="{00000000-0005-0000-0000-0000AD090000}"/>
    <cellStyle name="Comma 4 3 4 6 2 2" xfId="15120" xr:uid="{37AD751E-1C1A-43B7-A6AB-BF61F76D1539}"/>
    <cellStyle name="Comma 4 3 4 6 3" xfId="10902" xr:uid="{A7ACA9C2-19C0-4849-953E-2E5ECDCEE674}"/>
    <cellStyle name="Comma 4 3 4 7" xfId="2701" xr:uid="{00000000-0005-0000-0000-0000AE090000}"/>
    <cellStyle name="Comma 4 3 4 8" xfId="2783" xr:uid="{00000000-0005-0000-0000-0000AF090000}"/>
    <cellStyle name="Comma 4 3 4 8 2" xfId="7008" xr:uid="{00000000-0005-0000-0000-0000B0090000}"/>
    <cellStyle name="Comma 4 3 4 8 2 2" xfId="15437" xr:uid="{D3029A54-F7F7-43F2-B719-822890A9C3ED}"/>
    <cellStyle name="Comma 4 3 4 8 3" xfId="11219" xr:uid="{A48FF1BA-3CAF-4ED4-98F9-3B1871298036}"/>
    <cellStyle name="Comma 4 3 4 9" xfId="4625" xr:uid="{00000000-0005-0000-0000-0000B1090000}"/>
    <cellStyle name="Comma 4 3 4 9 2" xfId="13054" xr:uid="{63079FAD-E424-47DF-A169-E9DC5973ABAE}"/>
    <cellStyle name="Comma 4 3 5" xfId="152" xr:uid="{00000000-0005-0000-0000-0000B2090000}"/>
    <cellStyle name="Comma 4 3 5 10" xfId="8837" xr:uid="{4B77F2DB-DCA2-4491-BD34-0B152C8E9944}"/>
    <cellStyle name="Comma 4 3 5 2" xfId="690" xr:uid="{00000000-0005-0000-0000-0000B3090000}"/>
    <cellStyle name="Comma 4 3 5 2 2" xfId="2961" xr:uid="{00000000-0005-0000-0000-0000B4090000}"/>
    <cellStyle name="Comma 4 3 5 2 2 2" xfId="7185" xr:uid="{00000000-0005-0000-0000-0000B5090000}"/>
    <cellStyle name="Comma 4 3 5 2 2 2 2" xfId="15614" xr:uid="{11ED1E9D-EB68-42FE-B76C-08D2B39F2F6D}"/>
    <cellStyle name="Comma 4 3 5 2 2 3" xfId="11396" xr:uid="{A86CB6DE-33DF-4DAE-90BA-F01EC814F985}"/>
    <cellStyle name="Comma 4 3 5 2 3" xfId="5040" xr:uid="{00000000-0005-0000-0000-0000B6090000}"/>
    <cellStyle name="Comma 4 3 5 2 3 2" xfId="13469" xr:uid="{154079FE-4726-42DA-84F4-60C552FC3056}"/>
    <cellStyle name="Comma 4 3 5 2 4" xfId="9251" xr:uid="{A4C182BC-F123-41C0-B07F-45477D6E5C9C}"/>
    <cellStyle name="Comma 4 3 5 3" xfId="1143" xr:uid="{00000000-0005-0000-0000-0000B7090000}"/>
    <cellStyle name="Comma 4 3 5 3 2" xfId="3374" xr:uid="{00000000-0005-0000-0000-0000B8090000}"/>
    <cellStyle name="Comma 4 3 5 3 2 2" xfId="7598" xr:uid="{00000000-0005-0000-0000-0000B9090000}"/>
    <cellStyle name="Comma 4 3 5 3 2 2 2" xfId="16027" xr:uid="{CF70FD2C-286A-41AE-87EF-C7FAD6530398}"/>
    <cellStyle name="Comma 4 3 5 3 2 3" xfId="11809" xr:uid="{DEE985B7-965B-4130-889B-578AD4842491}"/>
    <cellStyle name="Comma 4 3 5 3 3" xfId="5453" xr:uid="{00000000-0005-0000-0000-0000BA090000}"/>
    <cellStyle name="Comma 4 3 5 3 3 2" xfId="13882" xr:uid="{B7C0D4C0-C14B-46C4-B47A-18DDB43BECA6}"/>
    <cellStyle name="Comma 4 3 5 3 4" xfId="9664" xr:uid="{8927A267-534F-4330-9E78-AB4C790D7F66}"/>
    <cellStyle name="Comma 4 3 5 4" xfId="1557" xr:uid="{00000000-0005-0000-0000-0000BB090000}"/>
    <cellStyle name="Comma 4 3 5 4 2" xfId="3787" xr:uid="{00000000-0005-0000-0000-0000BC090000}"/>
    <cellStyle name="Comma 4 3 5 4 2 2" xfId="8011" xr:uid="{00000000-0005-0000-0000-0000BD090000}"/>
    <cellStyle name="Comma 4 3 5 4 2 2 2" xfId="16440" xr:uid="{B23D65EB-6910-4153-9628-9F55F7CF2A85}"/>
    <cellStyle name="Comma 4 3 5 4 2 3" xfId="12222" xr:uid="{2C5B0004-B691-4FCE-AA0B-CAE2B482BF54}"/>
    <cellStyle name="Comma 4 3 5 4 3" xfId="5866" xr:uid="{00000000-0005-0000-0000-0000BE090000}"/>
    <cellStyle name="Comma 4 3 5 4 3 2" xfId="14295" xr:uid="{8980C5E8-3597-489D-9213-75F3B76BBC62}"/>
    <cellStyle name="Comma 4 3 5 4 4" xfId="10077" xr:uid="{6AE474CE-4157-419E-968E-F5A2DD295263}"/>
    <cellStyle name="Comma 4 3 5 5" xfId="1971" xr:uid="{00000000-0005-0000-0000-0000BF090000}"/>
    <cellStyle name="Comma 4 3 5 5 2" xfId="4200" xr:uid="{00000000-0005-0000-0000-0000C0090000}"/>
    <cellStyle name="Comma 4 3 5 5 2 2" xfId="8424" xr:uid="{00000000-0005-0000-0000-0000C1090000}"/>
    <cellStyle name="Comma 4 3 5 5 2 2 2" xfId="16853" xr:uid="{DDE487D7-C186-48F4-B405-0436957778BD}"/>
    <cellStyle name="Comma 4 3 5 5 2 3" xfId="12635" xr:uid="{8C78D6B0-D592-4E21-B5DB-F1382602865E}"/>
    <cellStyle name="Comma 4 3 5 5 3" xfId="6279" xr:uid="{00000000-0005-0000-0000-0000C2090000}"/>
    <cellStyle name="Comma 4 3 5 5 3 2" xfId="14708" xr:uid="{7F70A320-BBC6-427F-9932-AD1E0A648F3E}"/>
    <cellStyle name="Comma 4 3 5 5 4" xfId="10490" xr:uid="{BE3DB8FF-CEA2-41A2-9E31-A6EB004401C4}"/>
    <cellStyle name="Comma 4 3 5 6" xfId="2406" xr:uid="{00000000-0005-0000-0000-0000C3090000}"/>
    <cellStyle name="Comma 4 3 5 6 2" xfId="6692" xr:uid="{00000000-0005-0000-0000-0000C4090000}"/>
    <cellStyle name="Comma 4 3 5 6 2 2" xfId="15121" xr:uid="{5456632A-10F4-488A-931C-62823FC91A40}"/>
    <cellStyle name="Comma 4 3 5 6 3" xfId="10903" xr:uid="{67D0BC4A-4963-4400-9BFB-F384D2BFE496}"/>
    <cellStyle name="Comma 4 3 5 7" xfId="2702" xr:uid="{00000000-0005-0000-0000-0000C5090000}"/>
    <cellStyle name="Comma 4 3 5 8" xfId="2784" xr:uid="{00000000-0005-0000-0000-0000C6090000}"/>
    <cellStyle name="Comma 4 3 5 8 2" xfId="7009" xr:uid="{00000000-0005-0000-0000-0000C7090000}"/>
    <cellStyle name="Comma 4 3 5 8 2 2" xfId="15438" xr:uid="{D14B36B6-F252-4C5C-A9BD-3C2A4D1E9916}"/>
    <cellStyle name="Comma 4 3 5 8 3" xfId="11220" xr:uid="{5F1374F4-F1D2-405A-BA14-F6FFEA05272F}"/>
    <cellStyle name="Comma 4 3 5 9" xfId="4626" xr:uid="{00000000-0005-0000-0000-0000C8090000}"/>
    <cellStyle name="Comma 4 3 5 9 2" xfId="13055" xr:uid="{DB5B278E-80CC-4B97-85D2-1179B2562FCD}"/>
    <cellStyle name="Comma 4 4" xfId="153" xr:uid="{00000000-0005-0000-0000-0000C9090000}"/>
    <cellStyle name="Comma 4 4 10" xfId="2785" xr:uid="{00000000-0005-0000-0000-0000CA090000}"/>
    <cellStyle name="Comma 4 4 10 2" xfId="7010" xr:uid="{00000000-0005-0000-0000-0000CB090000}"/>
    <cellStyle name="Comma 4 4 10 2 2" xfId="15439" xr:uid="{C533DE45-AC79-473E-942C-234A1FF4DB6F}"/>
    <cellStyle name="Comma 4 4 10 3" xfId="11221" xr:uid="{3DCD7667-3E08-4DB3-8017-15BEE8E75C2D}"/>
    <cellStyle name="Comma 4 4 11" xfId="4627" xr:uid="{00000000-0005-0000-0000-0000CC090000}"/>
    <cellStyle name="Comma 4 4 11 2" xfId="13056" xr:uid="{D10968EF-B224-40DA-93ED-7237AB29C944}"/>
    <cellStyle name="Comma 4 4 12" xfId="8838" xr:uid="{FB82C322-AE16-4513-A1D8-15029CDBD047}"/>
    <cellStyle name="Comma 4 4 2" xfId="154" xr:uid="{00000000-0005-0000-0000-0000CD090000}"/>
    <cellStyle name="Comma 4 4 2 10" xfId="4628" xr:uid="{00000000-0005-0000-0000-0000CE090000}"/>
    <cellStyle name="Comma 4 4 2 10 2" xfId="13057" xr:uid="{DD815F5B-A74E-4EB0-A8FB-E4509400E82C}"/>
    <cellStyle name="Comma 4 4 2 11" xfId="8839" xr:uid="{AA2D6C9D-D91C-4220-8FCF-18C5E61D5956}"/>
    <cellStyle name="Comma 4 4 2 2" xfId="155" xr:uid="{00000000-0005-0000-0000-0000CF090000}"/>
    <cellStyle name="Comma 4 4 2 2 10" xfId="8840" xr:uid="{31A51B4C-4CE5-42AB-B867-6A182CEDFFBE}"/>
    <cellStyle name="Comma 4 4 2 2 2" xfId="693" xr:uid="{00000000-0005-0000-0000-0000D0090000}"/>
    <cellStyle name="Comma 4 4 2 2 2 2" xfId="2964" xr:uid="{00000000-0005-0000-0000-0000D1090000}"/>
    <cellStyle name="Comma 4 4 2 2 2 2 2" xfId="7188" xr:uid="{00000000-0005-0000-0000-0000D2090000}"/>
    <cellStyle name="Comma 4 4 2 2 2 2 2 2" xfId="15617" xr:uid="{5B8A7724-386F-43B3-94FF-1A3F26BCDA46}"/>
    <cellStyle name="Comma 4 4 2 2 2 2 3" xfId="11399" xr:uid="{0386F2C9-F0DC-4FDE-A566-7789A843B19E}"/>
    <cellStyle name="Comma 4 4 2 2 2 3" xfId="5043" xr:uid="{00000000-0005-0000-0000-0000D3090000}"/>
    <cellStyle name="Comma 4 4 2 2 2 3 2" xfId="13472" xr:uid="{1F34A9CD-0733-4A22-AF50-B0A9BCF98F5E}"/>
    <cellStyle name="Comma 4 4 2 2 2 4" xfId="9254" xr:uid="{9C0EB887-96DC-4372-A940-A179B065BD19}"/>
    <cellStyle name="Comma 4 4 2 2 3" xfId="1146" xr:uid="{00000000-0005-0000-0000-0000D4090000}"/>
    <cellStyle name="Comma 4 4 2 2 3 2" xfId="3377" xr:uid="{00000000-0005-0000-0000-0000D5090000}"/>
    <cellStyle name="Comma 4 4 2 2 3 2 2" xfId="7601" xr:uid="{00000000-0005-0000-0000-0000D6090000}"/>
    <cellStyle name="Comma 4 4 2 2 3 2 2 2" xfId="16030" xr:uid="{87288278-BA48-4DCB-8315-078DFC26874D}"/>
    <cellStyle name="Comma 4 4 2 2 3 2 3" xfId="11812" xr:uid="{F0DF1BE4-7CA2-455E-ADFD-5D7C409A5927}"/>
    <cellStyle name="Comma 4 4 2 2 3 3" xfId="5456" xr:uid="{00000000-0005-0000-0000-0000D7090000}"/>
    <cellStyle name="Comma 4 4 2 2 3 3 2" xfId="13885" xr:uid="{FBEBBB81-E2EB-4908-9741-9C4E8AF18E9C}"/>
    <cellStyle name="Comma 4 4 2 2 3 4" xfId="9667" xr:uid="{0C0EA73E-81DF-4A47-868A-B890EA7DAB9A}"/>
    <cellStyle name="Comma 4 4 2 2 4" xfId="1560" xr:uid="{00000000-0005-0000-0000-0000D8090000}"/>
    <cellStyle name="Comma 4 4 2 2 4 2" xfId="3790" xr:uid="{00000000-0005-0000-0000-0000D9090000}"/>
    <cellStyle name="Comma 4 4 2 2 4 2 2" xfId="8014" xr:uid="{00000000-0005-0000-0000-0000DA090000}"/>
    <cellStyle name="Comma 4 4 2 2 4 2 2 2" xfId="16443" xr:uid="{DC60DF59-F0E3-411C-81D7-EEF6B0BAF7E4}"/>
    <cellStyle name="Comma 4 4 2 2 4 2 3" xfId="12225" xr:uid="{DA5C097E-95B0-4E00-972A-1C41EAD15E42}"/>
    <cellStyle name="Comma 4 4 2 2 4 3" xfId="5869" xr:uid="{00000000-0005-0000-0000-0000DB090000}"/>
    <cellStyle name="Comma 4 4 2 2 4 3 2" xfId="14298" xr:uid="{4250A139-53B2-4905-9C8A-9E44C2DBEE2B}"/>
    <cellStyle name="Comma 4 4 2 2 4 4" xfId="10080" xr:uid="{6C7FCA81-6E5C-4618-B05E-1AAC5DEA2D51}"/>
    <cellStyle name="Comma 4 4 2 2 5" xfId="1974" xr:uid="{00000000-0005-0000-0000-0000DC090000}"/>
    <cellStyle name="Comma 4 4 2 2 5 2" xfId="4203" xr:uid="{00000000-0005-0000-0000-0000DD090000}"/>
    <cellStyle name="Comma 4 4 2 2 5 2 2" xfId="8427" xr:uid="{00000000-0005-0000-0000-0000DE090000}"/>
    <cellStyle name="Comma 4 4 2 2 5 2 2 2" xfId="16856" xr:uid="{A62D35D3-6ECE-4F61-910D-9B39DD07AFD1}"/>
    <cellStyle name="Comma 4 4 2 2 5 2 3" xfId="12638" xr:uid="{FAA97A79-EAA7-402A-BECC-129E39C4CF42}"/>
    <cellStyle name="Comma 4 4 2 2 5 3" xfId="6282" xr:uid="{00000000-0005-0000-0000-0000DF090000}"/>
    <cellStyle name="Comma 4 4 2 2 5 3 2" xfId="14711" xr:uid="{4826CFB7-B98E-456F-8D33-E4396210A299}"/>
    <cellStyle name="Comma 4 4 2 2 5 4" xfId="10493" xr:uid="{2282AB0D-273B-43D4-B164-E3EEA4B3FA9F}"/>
    <cellStyle name="Comma 4 4 2 2 6" xfId="2409" xr:uid="{00000000-0005-0000-0000-0000E0090000}"/>
    <cellStyle name="Comma 4 4 2 2 6 2" xfId="6695" xr:uid="{00000000-0005-0000-0000-0000E1090000}"/>
    <cellStyle name="Comma 4 4 2 2 6 2 2" xfId="15124" xr:uid="{63ABC5AF-E538-4190-AC18-84B9B9A60C7F}"/>
    <cellStyle name="Comma 4 4 2 2 6 3" xfId="10906" xr:uid="{A1857815-C82B-4B25-B0FD-48952694C32F}"/>
    <cellStyle name="Comma 4 4 2 2 7" xfId="2705" xr:uid="{00000000-0005-0000-0000-0000E2090000}"/>
    <cellStyle name="Comma 4 4 2 2 8" xfId="2787" xr:uid="{00000000-0005-0000-0000-0000E3090000}"/>
    <cellStyle name="Comma 4 4 2 2 8 2" xfId="7012" xr:uid="{00000000-0005-0000-0000-0000E4090000}"/>
    <cellStyle name="Comma 4 4 2 2 8 2 2" xfId="15441" xr:uid="{00E5E581-CDFE-4BDA-917C-28658418E35D}"/>
    <cellStyle name="Comma 4 4 2 2 8 3" xfId="11223" xr:uid="{5197C8D8-C3F7-46F1-BFFB-DACE5B143F29}"/>
    <cellStyle name="Comma 4 4 2 2 9" xfId="4629" xr:uid="{00000000-0005-0000-0000-0000E5090000}"/>
    <cellStyle name="Comma 4 4 2 2 9 2" xfId="13058" xr:uid="{74750F4F-916A-4052-B888-19BA4C381350}"/>
    <cellStyle name="Comma 4 4 2 3" xfId="692" xr:uid="{00000000-0005-0000-0000-0000E6090000}"/>
    <cellStyle name="Comma 4 4 2 3 2" xfId="2963" xr:uid="{00000000-0005-0000-0000-0000E7090000}"/>
    <cellStyle name="Comma 4 4 2 3 2 2" xfId="7187" xr:uid="{00000000-0005-0000-0000-0000E8090000}"/>
    <cellStyle name="Comma 4 4 2 3 2 2 2" xfId="15616" xr:uid="{ADC87E60-32FC-4ABB-B332-66B61566B204}"/>
    <cellStyle name="Comma 4 4 2 3 2 3" xfId="11398" xr:uid="{1F5F61BA-D735-48D4-84F1-26DBA223D98C}"/>
    <cellStyle name="Comma 4 4 2 3 3" xfId="5042" xr:uid="{00000000-0005-0000-0000-0000E9090000}"/>
    <cellStyle name="Comma 4 4 2 3 3 2" xfId="13471" xr:uid="{42C8CC98-0021-47BA-A4B8-0A14888C4F40}"/>
    <cellStyle name="Comma 4 4 2 3 4" xfId="9253" xr:uid="{8D9923D8-EE97-4D9B-9A65-35C6A852D6AA}"/>
    <cellStyle name="Comma 4 4 2 4" xfId="1145" xr:uid="{00000000-0005-0000-0000-0000EA090000}"/>
    <cellStyle name="Comma 4 4 2 4 2" xfId="3376" xr:uid="{00000000-0005-0000-0000-0000EB090000}"/>
    <cellStyle name="Comma 4 4 2 4 2 2" xfId="7600" xr:uid="{00000000-0005-0000-0000-0000EC090000}"/>
    <cellStyle name="Comma 4 4 2 4 2 2 2" xfId="16029" xr:uid="{FE2058D9-C948-438E-8FA4-33706BC1AB0D}"/>
    <cellStyle name="Comma 4 4 2 4 2 3" xfId="11811" xr:uid="{72F46A6F-11A8-4D24-88FC-7F30AC6B2999}"/>
    <cellStyle name="Comma 4 4 2 4 3" xfId="5455" xr:uid="{00000000-0005-0000-0000-0000ED090000}"/>
    <cellStyle name="Comma 4 4 2 4 3 2" xfId="13884" xr:uid="{082386CD-A257-4BEF-9CF7-871D4F6ECDC9}"/>
    <cellStyle name="Comma 4 4 2 4 4" xfId="9666" xr:uid="{1B735C02-7FF3-40B2-82CF-5953007D45CC}"/>
    <cellStyle name="Comma 4 4 2 5" xfId="1559" xr:uid="{00000000-0005-0000-0000-0000EE090000}"/>
    <cellStyle name="Comma 4 4 2 5 2" xfId="3789" xr:uid="{00000000-0005-0000-0000-0000EF090000}"/>
    <cellStyle name="Comma 4 4 2 5 2 2" xfId="8013" xr:uid="{00000000-0005-0000-0000-0000F0090000}"/>
    <cellStyle name="Comma 4 4 2 5 2 2 2" xfId="16442" xr:uid="{EE09BE52-0A64-4916-B3EA-8F72DBF599ED}"/>
    <cellStyle name="Comma 4 4 2 5 2 3" xfId="12224" xr:uid="{50488582-EAA3-4C08-B44C-E6923E5180E3}"/>
    <cellStyle name="Comma 4 4 2 5 3" xfId="5868" xr:uid="{00000000-0005-0000-0000-0000F1090000}"/>
    <cellStyle name="Comma 4 4 2 5 3 2" xfId="14297" xr:uid="{B0B29F15-8A78-45FE-8412-CE77E694BF61}"/>
    <cellStyle name="Comma 4 4 2 5 4" xfId="10079" xr:uid="{1368A9C2-9392-48E6-8EF5-C503AB82239A}"/>
    <cellStyle name="Comma 4 4 2 6" xfId="1973" xr:uid="{00000000-0005-0000-0000-0000F2090000}"/>
    <cellStyle name="Comma 4 4 2 6 2" xfId="4202" xr:uid="{00000000-0005-0000-0000-0000F3090000}"/>
    <cellStyle name="Comma 4 4 2 6 2 2" xfId="8426" xr:uid="{00000000-0005-0000-0000-0000F4090000}"/>
    <cellStyle name="Comma 4 4 2 6 2 2 2" xfId="16855" xr:uid="{176DC4AE-CA82-4DAF-904C-835065E4ED93}"/>
    <cellStyle name="Comma 4 4 2 6 2 3" xfId="12637" xr:uid="{C8FA172B-D733-4243-A181-3926F27389D5}"/>
    <cellStyle name="Comma 4 4 2 6 3" xfId="6281" xr:uid="{00000000-0005-0000-0000-0000F5090000}"/>
    <cellStyle name="Comma 4 4 2 6 3 2" xfId="14710" xr:uid="{7E53B360-7BDB-4047-ACE2-CFD4DCD09771}"/>
    <cellStyle name="Comma 4 4 2 6 4" xfId="10492" xr:uid="{A94DA58E-9100-4054-A1FC-047502B50D81}"/>
    <cellStyle name="Comma 4 4 2 7" xfId="2408" xr:uid="{00000000-0005-0000-0000-0000F6090000}"/>
    <cellStyle name="Comma 4 4 2 7 2" xfId="6694" xr:uid="{00000000-0005-0000-0000-0000F7090000}"/>
    <cellStyle name="Comma 4 4 2 7 2 2" xfId="15123" xr:uid="{9AE9379A-3C4F-471F-907F-08A571521F35}"/>
    <cellStyle name="Comma 4 4 2 7 3" xfId="10905" xr:uid="{7A115D0E-8B29-4980-920D-B21C53FDD553}"/>
    <cellStyle name="Comma 4 4 2 8" xfId="2704" xr:uid="{00000000-0005-0000-0000-0000F8090000}"/>
    <cellStyle name="Comma 4 4 2 9" xfId="2786" xr:uid="{00000000-0005-0000-0000-0000F9090000}"/>
    <cellStyle name="Comma 4 4 2 9 2" xfId="7011" xr:uid="{00000000-0005-0000-0000-0000FA090000}"/>
    <cellStyle name="Comma 4 4 2 9 2 2" xfId="15440" xr:uid="{975443E6-7EC6-42B4-BC14-3786F92CB3B2}"/>
    <cellStyle name="Comma 4 4 2 9 3" xfId="11222" xr:uid="{A6949554-3D05-4759-9823-E18B05F9EA0F}"/>
    <cellStyle name="Comma 4 4 3" xfId="156" xr:uid="{00000000-0005-0000-0000-0000FB090000}"/>
    <cellStyle name="Comma 4 4 3 10" xfId="8841" xr:uid="{70F9E564-3ECC-4269-8CED-ADA098B454FB}"/>
    <cellStyle name="Comma 4 4 3 2" xfId="694" xr:uid="{00000000-0005-0000-0000-0000FC090000}"/>
    <cellStyle name="Comma 4 4 3 2 2" xfId="2965" xr:uid="{00000000-0005-0000-0000-0000FD090000}"/>
    <cellStyle name="Comma 4 4 3 2 2 2" xfId="7189" xr:uid="{00000000-0005-0000-0000-0000FE090000}"/>
    <cellStyle name="Comma 4 4 3 2 2 2 2" xfId="15618" xr:uid="{2D226080-3C49-4239-A049-06E67D081593}"/>
    <cellStyle name="Comma 4 4 3 2 2 3" xfId="11400" xr:uid="{ADEBE25F-7C6E-46BE-AED3-E0FE18849679}"/>
    <cellStyle name="Comma 4 4 3 2 3" xfId="5044" xr:uid="{00000000-0005-0000-0000-0000FF090000}"/>
    <cellStyle name="Comma 4 4 3 2 3 2" xfId="13473" xr:uid="{22776F17-77FA-42F7-B45B-658D8A3245C8}"/>
    <cellStyle name="Comma 4 4 3 2 4" xfId="9255" xr:uid="{1141E6DE-FE16-400C-8353-9F3E8CEDFDB0}"/>
    <cellStyle name="Comma 4 4 3 3" xfId="1147" xr:uid="{00000000-0005-0000-0000-0000000A0000}"/>
    <cellStyle name="Comma 4 4 3 3 2" xfId="3378" xr:uid="{00000000-0005-0000-0000-0000010A0000}"/>
    <cellStyle name="Comma 4 4 3 3 2 2" xfId="7602" xr:uid="{00000000-0005-0000-0000-0000020A0000}"/>
    <cellStyle name="Comma 4 4 3 3 2 2 2" xfId="16031" xr:uid="{8820FB41-1A56-4451-8FA7-82DE70C0314E}"/>
    <cellStyle name="Comma 4 4 3 3 2 3" xfId="11813" xr:uid="{9B3345CC-0B31-4349-84E5-78D30D2BCF8F}"/>
    <cellStyle name="Comma 4 4 3 3 3" xfId="5457" xr:uid="{00000000-0005-0000-0000-0000030A0000}"/>
    <cellStyle name="Comma 4 4 3 3 3 2" xfId="13886" xr:uid="{CBD4A916-5D62-4A14-9E38-E00DD95CBBF4}"/>
    <cellStyle name="Comma 4 4 3 3 4" xfId="9668" xr:uid="{2A006793-ECD4-4BD6-A97F-5F9A3BFD62FF}"/>
    <cellStyle name="Comma 4 4 3 4" xfId="1561" xr:uid="{00000000-0005-0000-0000-0000040A0000}"/>
    <cellStyle name="Comma 4 4 3 4 2" xfId="3791" xr:uid="{00000000-0005-0000-0000-0000050A0000}"/>
    <cellStyle name="Comma 4 4 3 4 2 2" xfId="8015" xr:uid="{00000000-0005-0000-0000-0000060A0000}"/>
    <cellStyle name="Comma 4 4 3 4 2 2 2" xfId="16444" xr:uid="{973E551A-6BB5-4B33-B3E7-8FA2988E363B}"/>
    <cellStyle name="Comma 4 4 3 4 2 3" xfId="12226" xr:uid="{4C3CC0D4-67FD-41C2-8A9E-6084EACD37A1}"/>
    <cellStyle name="Comma 4 4 3 4 3" xfId="5870" xr:uid="{00000000-0005-0000-0000-0000070A0000}"/>
    <cellStyle name="Comma 4 4 3 4 3 2" xfId="14299" xr:uid="{9B378B8E-C4A9-4FE8-BDA9-77A35645C993}"/>
    <cellStyle name="Comma 4 4 3 4 4" xfId="10081" xr:uid="{C839C097-E5A6-42DB-A2B7-3E8B10ED9897}"/>
    <cellStyle name="Comma 4 4 3 5" xfId="1975" xr:uid="{00000000-0005-0000-0000-0000080A0000}"/>
    <cellStyle name="Comma 4 4 3 5 2" xfId="4204" xr:uid="{00000000-0005-0000-0000-0000090A0000}"/>
    <cellStyle name="Comma 4 4 3 5 2 2" xfId="8428" xr:uid="{00000000-0005-0000-0000-00000A0A0000}"/>
    <cellStyle name="Comma 4 4 3 5 2 2 2" xfId="16857" xr:uid="{A0FB6A33-126D-400A-BDCE-0B57F766F398}"/>
    <cellStyle name="Comma 4 4 3 5 2 3" xfId="12639" xr:uid="{2CC78FA4-6046-4D61-BDE5-56473FFF0266}"/>
    <cellStyle name="Comma 4 4 3 5 3" xfId="6283" xr:uid="{00000000-0005-0000-0000-00000B0A0000}"/>
    <cellStyle name="Comma 4 4 3 5 3 2" xfId="14712" xr:uid="{489C0854-1FDE-4413-B9B1-8445A2A263D7}"/>
    <cellStyle name="Comma 4 4 3 5 4" xfId="10494" xr:uid="{27D57E60-4A88-4FC7-AC8D-900545D339CC}"/>
    <cellStyle name="Comma 4 4 3 6" xfId="2410" xr:uid="{00000000-0005-0000-0000-00000C0A0000}"/>
    <cellStyle name="Comma 4 4 3 6 2" xfId="6696" xr:uid="{00000000-0005-0000-0000-00000D0A0000}"/>
    <cellStyle name="Comma 4 4 3 6 2 2" xfId="15125" xr:uid="{CF250F4B-83D1-4620-8448-FBAEB70FD9B1}"/>
    <cellStyle name="Comma 4 4 3 6 3" xfId="10907" xr:uid="{30079B50-1E8A-42F7-9871-5460EE521B12}"/>
    <cellStyle name="Comma 4 4 3 7" xfId="2706" xr:uid="{00000000-0005-0000-0000-00000E0A0000}"/>
    <cellStyle name="Comma 4 4 3 8" xfId="2788" xr:uid="{00000000-0005-0000-0000-00000F0A0000}"/>
    <cellStyle name="Comma 4 4 3 8 2" xfId="7013" xr:uid="{00000000-0005-0000-0000-0000100A0000}"/>
    <cellStyle name="Comma 4 4 3 8 2 2" xfId="15442" xr:uid="{15081333-0065-47F6-BF0D-D2D3D8D9CDA7}"/>
    <cellStyle name="Comma 4 4 3 8 3" xfId="11224" xr:uid="{018DA222-B616-4BD7-B188-D8F3C67BB1CC}"/>
    <cellStyle name="Comma 4 4 3 9" xfId="4630" xr:uid="{00000000-0005-0000-0000-0000110A0000}"/>
    <cellStyle name="Comma 4 4 3 9 2" xfId="13059" xr:uid="{8DB0713C-6FEE-4CD2-9547-4286543C5687}"/>
    <cellStyle name="Comma 4 4 4" xfId="691" xr:uid="{00000000-0005-0000-0000-0000120A0000}"/>
    <cellStyle name="Comma 4 4 4 2" xfId="2962" xr:uid="{00000000-0005-0000-0000-0000130A0000}"/>
    <cellStyle name="Comma 4 4 4 2 2" xfId="7186" xr:uid="{00000000-0005-0000-0000-0000140A0000}"/>
    <cellStyle name="Comma 4 4 4 2 2 2" xfId="15615" xr:uid="{E8AAAEFE-2655-423B-BFAB-A774F4197368}"/>
    <cellStyle name="Comma 4 4 4 2 3" xfId="11397" xr:uid="{F3998CCB-A4B0-4E7B-93C5-9257D4F29B02}"/>
    <cellStyle name="Comma 4 4 4 3" xfId="5041" xr:uid="{00000000-0005-0000-0000-0000150A0000}"/>
    <cellStyle name="Comma 4 4 4 3 2" xfId="13470" xr:uid="{EF834763-473A-4BBD-90A1-084DB6340FF5}"/>
    <cellStyle name="Comma 4 4 4 4" xfId="9252" xr:uid="{667678A0-B901-4228-ACAF-071334ADB23E}"/>
    <cellStyle name="Comma 4 4 5" xfId="1144" xr:uid="{00000000-0005-0000-0000-0000160A0000}"/>
    <cellStyle name="Comma 4 4 5 2" xfId="3375" xr:uid="{00000000-0005-0000-0000-0000170A0000}"/>
    <cellStyle name="Comma 4 4 5 2 2" xfId="7599" xr:uid="{00000000-0005-0000-0000-0000180A0000}"/>
    <cellStyle name="Comma 4 4 5 2 2 2" xfId="16028" xr:uid="{10D4900B-26AE-4558-B1B8-015C1B1B067C}"/>
    <cellStyle name="Comma 4 4 5 2 3" xfId="11810" xr:uid="{27C1B884-97DC-4160-8EFC-3F2733681B3F}"/>
    <cellStyle name="Comma 4 4 5 3" xfId="5454" xr:uid="{00000000-0005-0000-0000-0000190A0000}"/>
    <cellStyle name="Comma 4 4 5 3 2" xfId="13883" xr:uid="{65AA0556-9241-4A8F-AD66-4C91230407F8}"/>
    <cellStyle name="Comma 4 4 5 4" xfId="9665" xr:uid="{72994B78-3983-46FD-9914-C6E6640EC792}"/>
    <cellStyle name="Comma 4 4 6" xfId="1558" xr:uid="{00000000-0005-0000-0000-00001A0A0000}"/>
    <cellStyle name="Comma 4 4 6 2" xfId="3788" xr:uid="{00000000-0005-0000-0000-00001B0A0000}"/>
    <cellStyle name="Comma 4 4 6 2 2" xfId="8012" xr:uid="{00000000-0005-0000-0000-00001C0A0000}"/>
    <cellStyle name="Comma 4 4 6 2 2 2" xfId="16441" xr:uid="{BB8139AA-EC78-41F2-A472-BCD4D7088D1D}"/>
    <cellStyle name="Comma 4 4 6 2 3" xfId="12223" xr:uid="{CB484BAE-6059-4A90-8CCD-E78B57599F8C}"/>
    <cellStyle name="Comma 4 4 6 3" xfId="5867" xr:uid="{00000000-0005-0000-0000-00001D0A0000}"/>
    <cellStyle name="Comma 4 4 6 3 2" xfId="14296" xr:uid="{25E33EBF-B3D7-4E65-8CBD-AA3A0624D676}"/>
    <cellStyle name="Comma 4 4 6 4" xfId="10078" xr:uid="{2DB7AA24-B8DF-4B8D-A38E-4AF53BF9AF03}"/>
    <cellStyle name="Comma 4 4 7" xfId="1972" xr:uid="{00000000-0005-0000-0000-00001E0A0000}"/>
    <cellStyle name="Comma 4 4 7 2" xfId="4201" xr:uid="{00000000-0005-0000-0000-00001F0A0000}"/>
    <cellStyle name="Comma 4 4 7 2 2" xfId="8425" xr:uid="{00000000-0005-0000-0000-0000200A0000}"/>
    <cellStyle name="Comma 4 4 7 2 2 2" xfId="16854" xr:uid="{9F9C7B53-40FE-4427-AFCE-51F4241C0AFC}"/>
    <cellStyle name="Comma 4 4 7 2 3" xfId="12636" xr:uid="{C7502A41-D20C-4D59-AD81-D05341697934}"/>
    <cellStyle name="Comma 4 4 7 3" xfId="6280" xr:uid="{00000000-0005-0000-0000-0000210A0000}"/>
    <cellStyle name="Comma 4 4 7 3 2" xfId="14709" xr:uid="{E80B4449-D3D0-4627-A6F4-5E77358212FD}"/>
    <cellStyle name="Comma 4 4 7 4" xfId="10491" xr:uid="{D420EB3D-B732-49F9-A01A-AF1CE7419110}"/>
    <cellStyle name="Comma 4 4 8" xfId="2407" xr:uid="{00000000-0005-0000-0000-0000220A0000}"/>
    <cellStyle name="Comma 4 4 8 2" xfId="6693" xr:uid="{00000000-0005-0000-0000-0000230A0000}"/>
    <cellStyle name="Comma 4 4 8 2 2" xfId="15122" xr:uid="{53F37CF5-3F5E-4119-BCE0-9228A185099F}"/>
    <cellStyle name="Comma 4 4 8 3" xfId="10904" xr:uid="{3F6765A7-61CC-4DCA-953B-AAC43B9DB5D1}"/>
    <cellStyle name="Comma 4 4 9" xfId="2703" xr:uid="{00000000-0005-0000-0000-0000240A0000}"/>
    <cellStyle name="Comma 4 5" xfId="157" xr:uid="{00000000-0005-0000-0000-0000250A0000}"/>
    <cellStyle name="Comma 4 5 10" xfId="4631" xr:uid="{00000000-0005-0000-0000-0000260A0000}"/>
    <cellStyle name="Comma 4 5 10 2" xfId="13060" xr:uid="{137C0452-8D3B-40BF-8562-94231203A806}"/>
    <cellStyle name="Comma 4 5 11" xfId="8842" xr:uid="{3FED7204-CEC1-4795-BC87-66B53F0F0970}"/>
    <cellStyle name="Comma 4 5 2" xfId="158" xr:uid="{00000000-0005-0000-0000-0000270A0000}"/>
    <cellStyle name="Comma 4 5 2 10" xfId="8843" xr:uid="{221C3FEB-89F3-472D-AE4A-A2902DA47E4F}"/>
    <cellStyle name="Comma 4 5 2 2" xfId="696" xr:uid="{00000000-0005-0000-0000-0000280A0000}"/>
    <cellStyle name="Comma 4 5 2 2 2" xfId="2967" xr:uid="{00000000-0005-0000-0000-0000290A0000}"/>
    <cellStyle name="Comma 4 5 2 2 2 2" xfId="7191" xr:uid="{00000000-0005-0000-0000-00002A0A0000}"/>
    <cellStyle name="Comma 4 5 2 2 2 2 2" xfId="15620" xr:uid="{F7750A5D-B507-431D-9863-45B2D4A2FBA7}"/>
    <cellStyle name="Comma 4 5 2 2 2 3" xfId="11402" xr:uid="{CBC2C64B-8351-49ED-B19D-19550638B566}"/>
    <cellStyle name="Comma 4 5 2 2 3" xfId="5046" xr:uid="{00000000-0005-0000-0000-00002B0A0000}"/>
    <cellStyle name="Comma 4 5 2 2 3 2" xfId="13475" xr:uid="{49C845DD-6EE6-4E0E-AFAA-B789D1A18A26}"/>
    <cellStyle name="Comma 4 5 2 2 4" xfId="9257" xr:uid="{C9F22FF4-CD50-403C-8C89-B0154DDA2404}"/>
    <cellStyle name="Comma 4 5 2 3" xfId="1149" xr:uid="{00000000-0005-0000-0000-00002C0A0000}"/>
    <cellStyle name="Comma 4 5 2 3 2" xfId="3380" xr:uid="{00000000-0005-0000-0000-00002D0A0000}"/>
    <cellStyle name="Comma 4 5 2 3 2 2" xfId="7604" xr:uid="{00000000-0005-0000-0000-00002E0A0000}"/>
    <cellStyle name="Comma 4 5 2 3 2 2 2" xfId="16033" xr:uid="{9C604DFD-869E-4A0F-B12E-8477E3180790}"/>
    <cellStyle name="Comma 4 5 2 3 2 3" xfId="11815" xr:uid="{29A1B5B4-64C6-4262-B4D6-EE4F17EBC767}"/>
    <cellStyle name="Comma 4 5 2 3 3" xfId="5459" xr:uid="{00000000-0005-0000-0000-00002F0A0000}"/>
    <cellStyle name="Comma 4 5 2 3 3 2" xfId="13888" xr:uid="{D9C6D0E9-59D3-4E5D-B848-B83A435460BB}"/>
    <cellStyle name="Comma 4 5 2 3 4" xfId="9670" xr:uid="{1B34C6A5-7286-4C53-9350-C6AD4BE07DC9}"/>
    <cellStyle name="Comma 4 5 2 4" xfId="1563" xr:uid="{00000000-0005-0000-0000-0000300A0000}"/>
    <cellStyle name="Comma 4 5 2 4 2" xfId="3793" xr:uid="{00000000-0005-0000-0000-0000310A0000}"/>
    <cellStyle name="Comma 4 5 2 4 2 2" xfId="8017" xr:uid="{00000000-0005-0000-0000-0000320A0000}"/>
    <cellStyle name="Comma 4 5 2 4 2 2 2" xfId="16446" xr:uid="{BFC4FB01-8C01-473C-B4EB-555C35C8E655}"/>
    <cellStyle name="Comma 4 5 2 4 2 3" xfId="12228" xr:uid="{7E375538-2C31-40A3-8033-36513067C086}"/>
    <cellStyle name="Comma 4 5 2 4 3" xfId="5872" xr:uid="{00000000-0005-0000-0000-0000330A0000}"/>
    <cellStyle name="Comma 4 5 2 4 3 2" xfId="14301" xr:uid="{93708EF8-68DD-4D01-9449-8BFD2849EC24}"/>
    <cellStyle name="Comma 4 5 2 4 4" xfId="10083" xr:uid="{C20240FF-40BB-4A2F-B17C-4483D78AF09A}"/>
    <cellStyle name="Comma 4 5 2 5" xfId="1977" xr:uid="{00000000-0005-0000-0000-0000340A0000}"/>
    <cellStyle name="Comma 4 5 2 5 2" xfId="4206" xr:uid="{00000000-0005-0000-0000-0000350A0000}"/>
    <cellStyle name="Comma 4 5 2 5 2 2" xfId="8430" xr:uid="{00000000-0005-0000-0000-0000360A0000}"/>
    <cellStyle name="Comma 4 5 2 5 2 2 2" xfId="16859" xr:uid="{75B08244-BBC6-48FC-BA3A-292E7FBFFB9F}"/>
    <cellStyle name="Comma 4 5 2 5 2 3" xfId="12641" xr:uid="{0F5039E6-30F2-4578-90D2-5F483122E800}"/>
    <cellStyle name="Comma 4 5 2 5 3" xfId="6285" xr:uid="{00000000-0005-0000-0000-0000370A0000}"/>
    <cellStyle name="Comma 4 5 2 5 3 2" xfId="14714" xr:uid="{5461B112-E9C8-4D33-AE70-EC4ED4799D93}"/>
    <cellStyle name="Comma 4 5 2 5 4" xfId="10496" xr:uid="{2D040AA3-661A-4E6F-864A-68FD64433E77}"/>
    <cellStyle name="Comma 4 5 2 6" xfId="2412" xr:uid="{00000000-0005-0000-0000-0000380A0000}"/>
    <cellStyle name="Comma 4 5 2 6 2" xfId="6698" xr:uid="{00000000-0005-0000-0000-0000390A0000}"/>
    <cellStyle name="Comma 4 5 2 6 2 2" xfId="15127" xr:uid="{C6DAE7F1-E6B2-453D-B49F-D5062B4336B4}"/>
    <cellStyle name="Comma 4 5 2 6 3" xfId="10909" xr:uid="{5CBFA2C2-0651-4D90-BE62-E7E8B464E2AA}"/>
    <cellStyle name="Comma 4 5 2 7" xfId="2708" xr:uid="{00000000-0005-0000-0000-00003A0A0000}"/>
    <cellStyle name="Comma 4 5 2 8" xfId="2790" xr:uid="{00000000-0005-0000-0000-00003B0A0000}"/>
    <cellStyle name="Comma 4 5 2 8 2" xfId="7015" xr:uid="{00000000-0005-0000-0000-00003C0A0000}"/>
    <cellStyle name="Comma 4 5 2 8 2 2" xfId="15444" xr:uid="{33747731-1E23-4019-8ED8-45EFFB371AC6}"/>
    <cellStyle name="Comma 4 5 2 8 3" xfId="11226" xr:uid="{C173494A-F598-4B0E-9B4E-CEE12DCEEBA1}"/>
    <cellStyle name="Comma 4 5 2 9" xfId="4632" xr:uid="{00000000-0005-0000-0000-00003D0A0000}"/>
    <cellStyle name="Comma 4 5 2 9 2" xfId="13061" xr:uid="{E1097A4F-E98E-463D-B312-A304AAE1E43A}"/>
    <cellStyle name="Comma 4 5 3" xfId="695" xr:uid="{00000000-0005-0000-0000-00003E0A0000}"/>
    <cellStyle name="Comma 4 5 3 2" xfId="2966" xr:uid="{00000000-0005-0000-0000-00003F0A0000}"/>
    <cellStyle name="Comma 4 5 3 2 2" xfId="7190" xr:uid="{00000000-0005-0000-0000-0000400A0000}"/>
    <cellStyle name="Comma 4 5 3 2 2 2" xfId="15619" xr:uid="{BB41C666-B57D-477B-B243-DAE9AE8EF998}"/>
    <cellStyle name="Comma 4 5 3 2 3" xfId="11401" xr:uid="{9CA86BD2-5F35-40E9-85F9-C3A9DE09E6DE}"/>
    <cellStyle name="Comma 4 5 3 3" xfId="5045" xr:uid="{00000000-0005-0000-0000-0000410A0000}"/>
    <cellStyle name="Comma 4 5 3 3 2" xfId="13474" xr:uid="{1ED5391C-5B13-430C-8D74-7E4F3D1573D5}"/>
    <cellStyle name="Comma 4 5 3 4" xfId="9256" xr:uid="{A6BD47B5-979F-417D-A6C4-534EE00A0121}"/>
    <cellStyle name="Comma 4 5 4" xfId="1148" xr:uid="{00000000-0005-0000-0000-0000420A0000}"/>
    <cellStyle name="Comma 4 5 4 2" xfId="3379" xr:uid="{00000000-0005-0000-0000-0000430A0000}"/>
    <cellStyle name="Comma 4 5 4 2 2" xfId="7603" xr:uid="{00000000-0005-0000-0000-0000440A0000}"/>
    <cellStyle name="Comma 4 5 4 2 2 2" xfId="16032" xr:uid="{44335363-84EB-4230-AB13-EBB1A09B40C4}"/>
    <cellStyle name="Comma 4 5 4 2 3" xfId="11814" xr:uid="{38DA7B0A-E560-4D1D-9B4F-F5ED5C17F7A9}"/>
    <cellStyle name="Comma 4 5 4 3" xfId="5458" xr:uid="{00000000-0005-0000-0000-0000450A0000}"/>
    <cellStyle name="Comma 4 5 4 3 2" xfId="13887" xr:uid="{41B0B527-F405-421D-97EB-6015ECCF4053}"/>
    <cellStyle name="Comma 4 5 4 4" xfId="9669" xr:uid="{387DBC92-B9B7-4658-BD76-D08FAFED3DCB}"/>
    <cellStyle name="Comma 4 5 5" xfId="1562" xr:uid="{00000000-0005-0000-0000-0000460A0000}"/>
    <cellStyle name="Comma 4 5 5 2" xfId="3792" xr:uid="{00000000-0005-0000-0000-0000470A0000}"/>
    <cellStyle name="Comma 4 5 5 2 2" xfId="8016" xr:uid="{00000000-0005-0000-0000-0000480A0000}"/>
    <cellStyle name="Comma 4 5 5 2 2 2" xfId="16445" xr:uid="{7FDA0510-5297-4B31-9DB2-C631BD8E45B0}"/>
    <cellStyle name="Comma 4 5 5 2 3" xfId="12227" xr:uid="{01F21DE6-1A56-4AD6-B8A2-AC5B9D6325D2}"/>
    <cellStyle name="Comma 4 5 5 3" xfId="5871" xr:uid="{00000000-0005-0000-0000-0000490A0000}"/>
    <cellStyle name="Comma 4 5 5 3 2" xfId="14300" xr:uid="{E3A8364C-2524-4BEF-ACAC-B50821E0F02F}"/>
    <cellStyle name="Comma 4 5 5 4" xfId="10082" xr:uid="{8BA14AE2-E59C-4A73-91BB-41E5A2E38615}"/>
    <cellStyle name="Comma 4 5 6" xfId="1976" xr:uid="{00000000-0005-0000-0000-00004A0A0000}"/>
    <cellStyle name="Comma 4 5 6 2" xfId="4205" xr:uid="{00000000-0005-0000-0000-00004B0A0000}"/>
    <cellStyle name="Comma 4 5 6 2 2" xfId="8429" xr:uid="{00000000-0005-0000-0000-00004C0A0000}"/>
    <cellStyle name="Comma 4 5 6 2 2 2" xfId="16858" xr:uid="{75FD140A-A30C-4EED-B038-119160B4E99A}"/>
    <cellStyle name="Comma 4 5 6 2 3" xfId="12640" xr:uid="{668BC5A4-3E9C-4B4A-A005-1B2897665019}"/>
    <cellStyle name="Comma 4 5 6 3" xfId="6284" xr:uid="{00000000-0005-0000-0000-00004D0A0000}"/>
    <cellStyle name="Comma 4 5 6 3 2" xfId="14713" xr:uid="{3D5B1CE1-A51B-4B49-B2CB-4AA8B279FB7B}"/>
    <cellStyle name="Comma 4 5 6 4" xfId="10495" xr:uid="{03D9BF2B-25FA-4BDA-8B38-B724A26CFFBC}"/>
    <cellStyle name="Comma 4 5 7" xfId="2411" xr:uid="{00000000-0005-0000-0000-00004E0A0000}"/>
    <cellStyle name="Comma 4 5 7 2" xfId="6697" xr:uid="{00000000-0005-0000-0000-00004F0A0000}"/>
    <cellStyle name="Comma 4 5 7 2 2" xfId="15126" xr:uid="{CCE9A1A3-2BBC-42CD-9719-28EB61F22C66}"/>
    <cellStyle name="Comma 4 5 7 3" xfId="10908" xr:uid="{F08D7D03-0898-4251-9D64-AC11E84E6348}"/>
    <cellStyle name="Comma 4 5 8" xfId="2707" xr:uid="{00000000-0005-0000-0000-0000500A0000}"/>
    <cellStyle name="Comma 4 5 9" xfId="2789" xr:uid="{00000000-0005-0000-0000-0000510A0000}"/>
    <cellStyle name="Comma 4 5 9 2" xfId="7014" xr:uid="{00000000-0005-0000-0000-0000520A0000}"/>
    <cellStyle name="Comma 4 5 9 2 2" xfId="15443" xr:uid="{8F44CFCE-8154-4FC2-9181-DD8076B8AF0F}"/>
    <cellStyle name="Comma 4 5 9 3" xfId="11225" xr:uid="{9444F57A-545F-4DAC-8AFC-9A290433AA1A}"/>
    <cellStyle name="Comma 4 6" xfId="159" xr:uid="{00000000-0005-0000-0000-0000530A0000}"/>
    <cellStyle name="Comma 4 6 10" xfId="8844" xr:uid="{19C6988A-D549-4E82-8D90-0FD916050C51}"/>
    <cellStyle name="Comma 4 6 2" xfId="697" xr:uid="{00000000-0005-0000-0000-0000540A0000}"/>
    <cellStyle name="Comma 4 6 2 2" xfId="2968" xr:uid="{00000000-0005-0000-0000-0000550A0000}"/>
    <cellStyle name="Comma 4 6 2 2 2" xfId="7192" xr:uid="{00000000-0005-0000-0000-0000560A0000}"/>
    <cellStyle name="Comma 4 6 2 2 2 2" xfId="15621" xr:uid="{AF72C551-7F06-4F43-8FFA-24AEDC24ED73}"/>
    <cellStyle name="Comma 4 6 2 2 3" xfId="11403" xr:uid="{2AB5EC9C-4D83-499D-A8E0-3C0BBDFDA374}"/>
    <cellStyle name="Comma 4 6 2 3" xfId="5047" xr:uid="{00000000-0005-0000-0000-0000570A0000}"/>
    <cellStyle name="Comma 4 6 2 3 2" xfId="13476" xr:uid="{E7034E62-CF89-427C-A47C-926A7C4EF05C}"/>
    <cellStyle name="Comma 4 6 2 4" xfId="9258" xr:uid="{815F966D-44C4-4956-BE1C-1FCBACC281E6}"/>
    <cellStyle name="Comma 4 6 3" xfId="1150" xr:uid="{00000000-0005-0000-0000-0000580A0000}"/>
    <cellStyle name="Comma 4 6 3 2" xfId="3381" xr:uid="{00000000-0005-0000-0000-0000590A0000}"/>
    <cellStyle name="Comma 4 6 3 2 2" xfId="7605" xr:uid="{00000000-0005-0000-0000-00005A0A0000}"/>
    <cellStyle name="Comma 4 6 3 2 2 2" xfId="16034" xr:uid="{54F4C645-3080-42E4-8BC7-0C605DB5CD92}"/>
    <cellStyle name="Comma 4 6 3 2 3" xfId="11816" xr:uid="{6C5758DE-81AB-482A-9816-94FC2642911B}"/>
    <cellStyle name="Comma 4 6 3 3" xfId="5460" xr:uid="{00000000-0005-0000-0000-00005B0A0000}"/>
    <cellStyle name="Comma 4 6 3 3 2" xfId="13889" xr:uid="{08A49946-12D3-4EB4-B666-03BC43DCACD3}"/>
    <cellStyle name="Comma 4 6 3 4" xfId="9671" xr:uid="{8763E2AC-70FA-4974-BC2B-092806E6F9C6}"/>
    <cellStyle name="Comma 4 6 4" xfId="1564" xr:uid="{00000000-0005-0000-0000-00005C0A0000}"/>
    <cellStyle name="Comma 4 6 4 2" xfId="3794" xr:uid="{00000000-0005-0000-0000-00005D0A0000}"/>
    <cellStyle name="Comma 4 6 4 2 2" xfId="8018" xr:uid="{00000000-0005-0000-0000-00005E0A0000}"/>
    <cellStyle name="Comma 4 6 4 2 2 2" xfId="16447" xr:uid="{D812F3B4-ADBC-448A-90B6-643D416718BB}"/>
    <cellStyle name="Comma 4 6 4 2 3" xfId="12229" xr:uid="{0CAF7306-5691-462B-BE2E-A40A0E9A948F}"/>
    <cellStyle name="Comma 4 6 4 3" xfId="5873" xr:uid="{00000000-0005-0000-0000-00005F0A0000}"/>
    <cellStyle name="Comma 4 6 4 3 2" xfId="14302" xr:uid="{2C6418CE-3D11-4358-8344-7F25B4FA5718}"/>
    <cellStyle name="Comma 4 6 4 4" xfId="10084" xr:uid="{9E509C0F-CE36-4870-9F48-81AB30440DF7}"/>
    <cellStyle name="Comma 4 6 5" xfId="1978" xr:uid="{00000000-0005-0000-0000-0000600A0000}"/>
    <cellStyle name="Comma 4 6 5 2" xfId="4207" xr:uid="{00000000-0005-0000-0000-0000610A0000}"/>
    <cellStyle name="Comma 4 6 5 2 2" xfId="8431" xr:uid="{00000000-0005-0000-0000-0000620A0000}"/>
    <cellStyle name="Comma 4 6 5 2 2 2" xfId="16860" xr:uid="{D214B8FA-6D6F-4AD2-9F77-AB1F2212610D}"/>
    <cellStyle name="Comma 4 6 5 2 3" xfId="12642" xr:uid="{BFF5A702-D6FE-4DBE-B9A9-2B6CCAFFD332}"/>
    <cellStyle name="Comma 4 6 5 3" xfId="6286" xr:uid="{00000000-0005-0000-0000-0000630A0000}"/>
    <cellStyle name="Comma 4 6 5 3 2" xfId="14715" xr:uid="{4119E129-A43D-4200-A2ED-F2EDF5D04289}"/>
    <cellStyle name="Comma 4 6 5 4" xfId="10497" xr:uid="{6333848C-728D-4297-86B6-AB526903392F}"/>
    <cellStyle name="Comma 4 6 6" xfId="2413" xr:uid="{00000000-0005-0000-0000-0000640A0000}"/>
    <cellStyle name="Comma 4 6 6 2" xfId="6699" xr:uid="{00000000-0005-0000-0000-0000650A0000}"/>
    <cellStyle name="Comma 4 6 6 2 2" xfId="15128" xr:uid="{6614396C-B299-44FA-81DE-6BFA429DB99A}"/>
    <cellStyle name="Comma 4 6 6 3" xfId="10910" xr:uid="{D072D605-57D5-48FF-B08D-28374FD7ACD9}"/>
    <cellStyle name="Comma 4 6 7" xfId="2709" xr:uid="{00000000-0005-0000-0000-0000660A0000}"/>
    <cellStyle name="Comma 4 6 8" xfId="2791" xr:uid="{00000000-0005-0000-0000-0000670A0000}"/>
    <cellStyle name="Comma 4 6 8 2" xfId="7016" xr:uid="{00000000-0005-0000-0000-0000680A0000}"/>
    <cellStyle name="Comma 4 6 8 2 2" xfId="15445" xr:uid="{E331B8BB-4D1B-4FED-9591-D8F90FDF6DD0}"/>
    <cellStyle name="Comma 4 6 8 3" xfId="11227" xr:uid="{B75AE138-B1E3-4DBA-AE92-7B17840DF9B0}"/>
    <cellStyle name="Comma 4 6 9" xfId="4633" xr:uid="{00000000-0005-0000-0000-0000690A0000}"/>
    <cellStyle name="Comma 4 6 9 2" xfId="13062" xr:uid="{114227AD-E4D8-4F6A-8D38-6896115EB24D}"/>
    <cellStyle name="Comma 4 7" xfId="160" xr:uid="{00000000-0005-0000-0000-00006A0A0000}"/>
    <cellStyle name="Comma 4 7 10" xfId="8845" xr:uid="{9C4A5149-1BD1-44BE-A631-5D658B7DBA9F}"/>
    <cellStyle name="Comma 4 7 2" xfId="698" xr:uid="{00000000-0005-0000-0000-00006B0A0000}"/>
    <cellStyle name="Comma 4 7 2 2" xfId="2969" xr:uid="{00000000-0005-0000-0000-00006C0A0000}"/>
    <cellStyle name="Comma 4 7 2 2 2" xfId="7193" xr:uid="{00000000-0005-0000-0000-00006D0A0000}"/>
    <cellStyle name="Comma 4 7 2 2 2 2" xfId="15622" xr:uid="{F7CD0316-3AD6-432D-A31B-77EF6F5E3EDE}"/>
    <cellStyle name="Comma 4 7 2 2 3" xfId="11404" xr:uid="{1537513D-6CEB-4EF3-BD56-98B0612F1844}"/>
    <cellStyle name="Comma 4 7 2 3" xfId="5048" xr:uid="{00000000-0005-0000-0000-00006E0A0000}"/>
    <cellStyle name="Comma 4 7 2 3 2" xfId="13477" xr:uid="{F91310C9-2E4B-41E3-8005-38A45F47BF16}"/>
    <cellStyle name="Comma 4 7 2 4" xfId="9259" xr:uid="{2F1A1BB2-9937-47AF-8A66-D24360662A17}"/>
    <cellStyle name="Comma 4 7 3" xfId="1151" xr:uid="{00000000-0005-0000-0000-00006F0A0000}"/>
    <cellStyle name="Comma 4 7 3 2" xfId="3382" xr:uid="{00000000-0005-0000-0000-0000700A0000}"/>
    <cellStyle name="Comma 4 7 3 2 2" xfId="7606" xr:uid="{00000000-0005-0000-0000-0000710A0000}"/>
    <cellStyle name="Comma 4 7 3 2 2 2" xfId="16035" xr:uid="{2130DAC2-F48F-425A-90D1-93751F226098}"/>
    <cellStyle name="Comma 4 7 3 2 3" xfId="11817" xr:uid="{D94CFAF7-C777-4598-A64F-E11EAD38921A}"/>
    <cellStyle name="Comma 4 7 3 3" xfId="5461" xr:uid="{00000000-0005-0000-0000-0000720A0000}"/>
    <cellStyle name="Comma 4 7 3 3 2" xfId="13890" xr:uid="{B57A6987-7B58-436A-8F84-C2DA46FBE021}"/>
    <cellStyle name="Comma 4 7 3 4" xfId="9672" xr:uid="{FD23CDF8-F349-4504-82A5-F9A632CB6D6E}"/>
    <cellStyle name="Comma 4 7 4" xfId="1565" xr:uid="{00000000-0005-0000-0000-0000730A0000}"/>
    <cellStyle name="Comma 4 7 4 2" xfId="3795" xr:uid="{00000000-0005-0000-0000-0000740A0000}"/>
    <cellStyle name="Comma 4 7 4 2 2" xfId="8019" xr:uid="{00000000-0005-0000-0000-0000750A0000}"/>
    <cellStyle name="Comma 4 7 4 2 2 2" xfId="16448" xr:uid="{5E2A616D-BAAC-4316-94BA-345CEA517122}"/>
    <cellStyle name="Comma 4 7 4 2 3" xfId="12230" xr:uid="{23DD2EF9-9963-426E-BC1A-F5550DAAFC33}"/>
    <cellStyle name="Comma 4 7 4 3" xfId="5874" xr:uid="{00000000-0005-0000-0000-0000760A0000}"/>
    <cellStyle name="Comma 4 7 4 3 2" xfId="14303" xr:uid="{B984A4F2-0B82-42A7-B8A1-82AECD160C74}"/>
    <cellStyle name="Comma 4 7 4 4" xfId="10085" xr:uid="{7C809D84-6464-480B-B8F0-81D768AC32CC}"/>
    <cellStyle name="Comma 4 7 5" xfId="1979" xr:uid="{00000000-0005-0000-0000-0000770A0000}"/>
    <cellStyle name="Comma 4 7 5 2" xfId="4208" xr:uid="{00000000-0005-0000-0000-0000780A0000}"/>
    <cellStyle name="Comma 4 7 5 2 2" xfId="8432" xr:uid="{00000000-0005-0000-0000-0000790A0000}"/>
    <cellStyle name="Comma 4 7 5 2 2 2" xfId="16861" xr:uid="{0339DA13-A887-45B3-AAC5-45A001CDF56D}"/>
    <cellStyle name="Comma 4 7 5 2 3" xfId="12643" xr:uid="{6DA79761-232D-4001-92D8-0D4E8FCF24E1}"/>
    <cellStyle name="Comma 4 7 5 3" xfId="6287" xr:uid="{00000000-0005-0000-0000-00007A0A0000}"/>
    <cellStyle name="Comma 4 7 5 3 2" xfId="14716" xr:uid="{3D7EB222-592C-49DC-9498-012B1833AD87}"/>
    <cellStyle name="Comma 4 7 5 4" xfId="10498" xr:uid="{EB4F434F-83C9-41F9-8912-B946B12F75E7}"/>
    <cellStyle name="Comma 4 7 6" xfId="2414" xr:uid="{00000000-0005-0000-0000-00007B0A0000}"/>
    <cellStyle name="Comma 4 7 6 2" xfId="6700" xr:uid="{00000000-0005-0000-0000-00007C0A0000}"/>
    <cellStyle name="Comma 4 7 6 2 2" xfId="15129" xr:uid="{51F58582-B6FA-41E9-8D23-987401F3E0C6}"/>
    <cellStyle name="Comma 4 7 6 3" xfId="10911" xr:uid="{C46C7614-00E7-4A19-BE8C-4CB40C96728B}"/>
    <cellStyle name="Comma 4 7 7" xfId="2710" xr:uid="{00000000-0005-0000-0000-00007D0A0000}"/>
    <cellStyle name="Comma 4 7 8" xfId="2792" xr:uid="{00000000-0005-0000-0000-00007E0A0000}"/>
    <cellStyle name="Comma 4 7 8 2" xfId="7017" xr:uid="{00000000-0005-0000-0000-00007F0A0000}"/>
    <cellStyle name="Comma 4 7 8 2 2" xfId="15446" xr:uid="{6CBCD5E4-EC8D-47CF-9322-2AD0E1AE435E}"/>
    <cellStyle name="Comma 4 7 8 3" xfId="11228" xr:uid="{8B7B8B89-8D25-4587-85A5-93FCEA402246}"/>
    <cellStyle name="Comma 4 7 9" xfId="4634" xr:uid="{00000000-0005-0000-0000-0000800A0000}"/>
    <cellStyle name="Comma 4 7 9 2" xfId="13063" xr:uid="{7722457E-6CBC-4144-882F-AC5A5A5607C4}"/>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1" xr:uid="{1E4A52E3-EF0E-4493-AF10-80454DE63934}"/>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4 2" xfId="12934" xr:uid="{48FE3817-9562-4399-98ED-0FDEEC962449}"/>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2 2" xfId="15447" xr:uid="{C9D74A99-D746-48A3-AB4C-08AB3B0E3BDD}"/>
    <cellStyle name="Currency 3 2 2 10 3" xfId="11229" xr:uid="{4C2449F2-DD72-4BEF-85B2-E439B05EBD72}"/>
    <cellStyle name="Currency 3 2 2 11" xfId="4635" xr:uid="{00000000-0005-0000-0000-0000A50A0000}"/>
    <cellStyle name="Currency 3 2 2 11 2" xfId="13064" xr:uid="{56590D6D-C56E-4B7A-82BC-7424A648E297}"/>
    <cellStyle name="Currency 3 2 2 12" xfId="8846" xr:uid="{8A2E3CBB-3417-4352-A64B-48F750F6CA9A}"/>
    <cellStyle name="Currency 3 2 2 2" xfId="179" xr:uid="{00000000-0005-0000-0000-0000A60A0000}"/>
    <cellStyle name="Currency 3 2 2 2 10" xfId="4636" xr:uid="{00000000-0005-0000-0000-0000A70A0000}"/>
    <cellStyle name="Currency 3 2 2 2 10 2" xfId="13065" xr:uid="{0D7418FF-03BD-4211-8BB9-28D1C5907948}"/>
    <cellStyle name="Currency 3 2 2 2 11" xfId="8847" xr:uid="{1A66A127-138F-4F6F-B6D8-6DEB7E1B007E}"/>
    <cellStyle name="Currency 3 2 2 2 2" xfId="180" xr:uid="{00000000-0005-0000-0000-0000A80A0000}"/>
    <cellStyle name="Currency 3 2 2 2 2 10" xfId="8848" xr:uid="{896C1AAA-4D4F-4625-8495-D1CA46F7354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2 2" xfId="15625" xr:uid="{B3B93CB5-B47C-4828-9CC5-796B194D4473}"/>
    <cellStyle name="Currency 3 2 2 2 2 2 2 3" xfId="11407" xr:uid="{3D245183-2669-4B18-8E39-18E9B7146F54}"/>
    <cellStyle name="Currency 3 2 2 2 2 2 3" xfId="5051" xr:uid="{00000000-0005-0000-0000-0000AC0A0000}"/>
    <cellStyle name="Currency 3 2 2 2 2 2 3 2" xfId="13480" xr:uid="{88F92329-AD4A-47B3-B502-3D00694C8E56}"/>
    <cellStyle name="Currency 3 2 2 2 2 2 4" xfId="9262" xr:uid="{33F4EC94-9A4D-4754-92C0-F48028D483B1}"/>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2 2" xfId="16038" xr:uid="{440502BB-E1A4-45F4-9A5E-45BD0F2EC362}"/>
    <cellStyle name="Currency 3 2 2 2 2 3 2 3" xfId="11820" xr:uid="{17CF303B-BAF9-45FF-B737-50755A75F6B3}"/>
    <cellStyle name="Currency 3 2 2 2 2 3 3" xfId="5464" xr:uid="{00000000-0005-0000-0000-0000B00A0000}"/>
    <cellStyle name="Currency 3 2 2 2 2 3 3 2" xfId="13893" xr:uid="{0995F79B-89FA-484B-916D-3526205CE374}"/>
    <cellStyle name="Currency 3 2 2 2 2 3 4" xfId="9675" xr:uid="{FA8FC775-477D-4AFF-B6E1-5623CBEC7A28}"/>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2 2" xfId="16451" xr:uid="{D21FDA57-102E-4C4C-B73D-0BD570F863EC}"/>
    <cellStyle name="Currency 3 2 2 2 2 4 2 3" xfId="12233" xr:uid="{93A758A6-1C9A-43C9-9174-CD56CDF68479}"/>
    <cellStyle name="Currency 3 2 2 2 2 4 3" xfId="5877" xr:uid="{00000000-0005-0000-0000-0000B40A0000}"/>
    <cellStyle name="Currency 3 2 2 2 2 4 3 2" xfId="14306" xr:uid="{1D2FFAB0-44DC-4D07-9998-E5F901282BF9}"/>
    <cellStyle name="Currency 3 2 2 2 2 4 4" xfId="10088" xr:uid="{15CCFFB8-B6D9-4D46-A419-243742D863CC}"/>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2 2" xfId="16864" xr:uid="{D93B1220-C962-44B6-9C80-7EFB857E6053}"/>
    <cellStyle name="Currency 3 2 2 2 2 5 2 3" xfId="12646" xr:uid="{2651ACCB-8E93-4BB4-BB06-93EE9AEEC774}"/>
    <cellStyle name="Currency 3 2 2 2 2 5 3" xfId="6290" xr:uid="{00000000-0005-0000-0000-0000B80A0000}"/>
    <cellStyle name="Currency 3 2 2 2 2 5 3 2" xfId="14719" xr:uid="{59659113-4FE7-4B72-B1CC-64801B935D0E}"/>
    <cellStyle name="Currency 3 2 2 2 2 5 4" xfId="10501" xr:uid="{8B3A9B85-E0E0-4DBC-BF81-A7206A0281DE}"/>
    <cellStyle name="Currency 3 2 2 2 2 6" xfId="2417" xr:uid="{00000000-0005-0000-0000-0000B90A0000}"/>
    <cellStyle name="Currency 3 2 2 2 2 6 2" xfId="6703" xr:uid="{00000000-0005-0000-0000-0000BA0A0000}"/>
    <cellStyle name="Currency 3 2 2 2 2 6 2 2" xfId="15132" xr:uid="{4A4FC554-4CB9-4C42-A71C-7A42B1CF4F5D}"/>
    <cellStyle name="Currency 3 2 2 2 2 6 3" xfId="10914" xr:uid="{59AE07E5-2069-4856-90C0-6FFDBCC172A6}"/>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2 2" xfId="15449" xr:uid="{F88D5E78-5B6C-422E-A507-E7C3E08829C0}"/>
    <cellStyle name="Currency 3 2 2 2 2 8 3" xfId="11231" xr:uid="{F2B2AFFA-2040-4BCB-AA54-D294B8322AE4}"/>
    <cellStyle name="Currency 3 2 2 2 2 9" xfId="4637" xr:uid="{00000000-0005-0000-0000-0000BE0A0000}"/>
    <cellStyle name="Currency 3 2 2 2 2 9 2" xfId="13066" xr:uid="{3CFAE7BD-B856-4F3B-A3DC-684B65A63C5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2 2" xfId="15624" xr:uid="{FF0FD491-A614-4F66-829E-41F1AF8E2D36}"/>
    <cellStyle name="Currency 3 2 2 2 3 2 3" xfId="11406" xr:uid="{A7A10628-400C-4A58-99B9-D2279906E3C7}"/>
    <cellStyle name="Currency 3 2 2 2 3 3" xfId="5050" xr:uid="{00000000-0005-0000-0000-0000C20A0000}"/>
    <cellStyle name="Currency 3 2 2 2 3 3 2" xfId="13479" xr:uid="{88E661BE-AC3E-4629-9EE5-0BC1E2791317}"/>
    <cellStyle name="Currency 3 2 2 2 3 4" xfId="9261" xr:uid="{D790A07D-7181-4764-A3A4-35A0D2FB5AA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2 2" xfId="16037" xr:uid="{7F18A924-4A60-472E-BBF2-256AD352FF92}"/>
    <cellStyle name="Currency 3 2 2 2 4 2 3" xfId="11819" xr:uid="{ABA85BFD-52D3-4215-97E9-FF02AE5BCFA2}"/>
    <cellStyle name="Currency 3 2 2 2 4 3" xfId="5463" xr:uid="{00000000-0005-0000-0000-0000C60A0000}"/>
    <cellStyle name="Currency 3 2 2 2 4 3 2" xfId="13892" xr:uid="{8C298331-8BF9-45FF-896A-215D43B0BA0A}"/>
    <cellStyle name="Currency 3 2 2 2 4 4" xfId="9674" xr:uid="{D9F07D06-A28B-4A05-8C1B-B60A960C941B}"/>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2 2" xfId="16450" xr:uid="{0D7CA4C9-5C97-4B4A-B87A-608F1FA4536B}"/>
    <cellStyle name="Currency 3 2 2 2 5 2 3" xfId="12232" xr:uid="{B92CE0DA-0CB4-48A7-8086-4312C92B751D}"/>
    <cellStyle name="Currency 3 2 2 2 5 3" xfId="5876" xr:uid="{00000000-0005-0000-0000-0000CA0A0000}"/>
    <cellStyle name="Currency 3 2 2 2 5 3 2" xfId="14305" xr:uid="{0F4A323D-53D9-4A87-B8D0-A22C6B45CB8E}"/>
    <cellStyle name="Currency 3 2 2 2 5 4" xfId="10087" xr:uid="{50A83558-99AE-474D-A9A0-CFBFBC8CCA17}"/>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2 2" xfId="16863" xr:uid="{3285BC8B-957A-48CA-9285-26A112E065BF}"/>
    <cellStyle name="Currency 3 2 2 2 6 2 3" xfId="12645" xr:uid="{147A03C2-0DB4-467B-81F9-E65542603ECF}"/>
    <cellStyle name="Currency 3 2 2 2 6 3" xfId="6289" xr:uid="{00000000-0005-0000-0000-0000CE0A0000}"/>
    <cellStyle name="Currency 3 2 2 2 6 3 2" xfId="14718" xr:uid="{ECDD76F8-8395-4306-9A48-7ABF6E16F27C}"/>
    <cellStyle name="Currency 3 2 2 2 6 4" xfId="10500" xr:uid="{14507B79-0BA3-429A-A6FB-9F6FAEC4F74B}"/>
    <cellStyle name="Currency 3 2 2 2 7" xfId="2416" xr:uid="{00000000-0005-0000-0000-0000CF0A0000}"/>
    <cellStyle name="Currency 3 2 2 2 7 2" xfId="6702" xr:uid="{00000000-0005-0000-0000-0000D00A0000}"/>
    <cellStyle name="Currency 3 2 2 2 7 2 2" xfId="15131" xr:uid="{98CDE5B4-5B21-41C1-BBD9-E6FB46593050}"/>
    <cellStyle name="Currency 3 2 2 2 7 3" xfId="10913" xr:uid="{28D600EA-9F8F-4543-B3B7-2E6F81C669D9}"/>
    <cellStyle name="Currency 3 2 2 2 8" xfId="2713" xr:uid="{00000000-0005-0000-0000-0000D10A0000}"/>
    <cellStyle name="Currency 3 2 2 2 9" xfId="2794" xr:uid="{00000000-0005-0000-0000-0000D20A0000}"/>
    <cellStyle name="Currency 3 2 2 2 9 2" xfId="7019" xr:uid="{00000000-0005-0000-0000-0000D30A0000}"/>
    <cellStyle name="Currency 3 2 2 2 9 2 2" xfId="15448" xr:uid="{A367D18C-FE8E-47DC-BEFE-5EA254A612AA}"/>
    <cellStyle name="Currency 3 2 2 2 9 3" xfId="11230" xr:uid="{0C51F7B8-471F-435C-B742-650F8D67BBA9}"/>
    <cellStyle name="Currency 3 2 2 3" xfId="181" xr:uid="{00000000-0005-0000-0000-0000D40A0000}"/>
    <cellStyle name="Currency 3 2 2 3 10" xfId="8849" xr:uid="{A211CEAD-29CB-4CFF-8161-8279BA71EDA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2 2" xfId="15626" xr:uid="{1CA4070A-2D9B-4E25-9463-561875E9AD8C}"/>
    <cellStyle name="Currency 3 2 2 3 2 2 3" xfId="11408" xr:uid="{D7AD5678-6982-4114-AC2E-74261096CB1E}"/>
    <cellStyle name="Currency 3 2 2 3 2 3" xfId="5052" xr:uid="{00000000-0005-0000-0000-0000D80A0000}"/>
    <cellStyle name="Currency 3 2 2 3 2 3 2" xfId="13481" xr:uid="{732C0DD3-F8A6-4DF0-B69E-813AC4A738F3}"/>
    <cellStyle name="Currency 3 2 2 3 2 4" xfId="9263" xr:uid="{E6C31B48-580E-4366-815D-277FB288FF5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2 2" xfId="16039" xr:uid="{1D290AFF-BB37-45FA-BC51-92EF9C66796F}"/>
    <cellStyle name="Currency 3 2 2 3 3 2 3" xfId="11821" xr:uid="{2425F011-DAF5-4C11-93C7-64CA439096E8}"/>
    <cellStyle name="Currency 3 2 2 3 3 3" xfId="5465" xr:uid="{00000000-0005-0000-0000-0000DC0A0000}"/>
    <cellStyle name="Currency 3 2 2 3 3 3 2" xfId="13894" xr:uid="{9E5C4BB6-4CB5-4B2C-B35D-A1B52CD77313}"/>
    <cellStyle name="Currency 3 2 2 3 3 4" xfId="9676" xr:uid="{B8C38B4D-DBEC-440A-AC10-5662BC55915B}"/>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2 2" xfId="16452" xr:uid="{9444FC75-0997-4ED3-B610-A715883F9024}"/>
    <cellStyle name="Currency 3 2 2 3 4 2 3" xfId="12234" xr:uid="{643FA19D-2BAF-44EA-8891-DD80A38BEFF6}"/>
    <cellStyle name="Currency 3 2 2 3 4 3" xfId="5878" xr:uid="{00000000-0005-0000-0000-0000E00A0000}"/>
    <cellStyle name="Currency 3 2 2 3 4 3 2" xfId="14307" xr:uid="{F3E990E5-B244-4C49-AF6B-C650BF7F5EB5}"/>
    <cellStyle name="Currency 3 2 2 3 4 4" xfId="10089" xr:uid="{99225EED-5243-461F-84C7-9045F448B3C5}"/>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2 2" xfId="16865" xr:uid="{EBA3A100-DE9B-4605-9D11-202753EB8C19}"/>
    <cellStyle name="Currency 3 2 2 3 5 2 3" xfId="12647" xr:uid="{C708EC51-24E7-47ED-9122-676AF69D8990}"/>
    <cellStyle name="Currency 3 2 2 3 5 3" xfId="6291" xr:uid="{00000000-0005-0000-0000-0000E40A0000}"/>
    <cellStyle name="Currency 3 2 2 3 5 3 2" xfId="14720" xr:uid="{D9D69020-F19D-4F58-9BE2-EC691EF7CD40}"/>
    <cellStyle name="Currency 3 2 2 3 5 4" xfId="10502" xr:uid="{0FE91177-51DF-4CF4-96D2-852FD1EF3514}"/>
    <cellStyle name="Currency 3 2 2 3 6" xfId="2418" xr:uid="{00000000-0005-0000-0000-0000E50A0000}"/>
    <cellStyle name="Currency 3 2 2 3 6 2" xfId="6704" xr:uid="{00000000-0005-0000-0000-0000E60A0000}"/>
    <cellStyle name="Currency 3 2 2 3 6 2 2" xfId="15133" xr:uid="{3A28BF9B-9F24-4637-9692-EB3C58D03D0A}"/>
    <cellStyle name="Currency 3 2 2 3 6 3" xfId="10915" xr:uid="{D3E6313B-84DF-4DE8-88A4-0B90789FE681}"/>
    <cellStyle name="Currency 3 2 2 3 7" xfId="2715" xr:uid="{00000000-0005-0000-0000-0000E70A0000}"/>
    <cellStyle name="Currency 3 2 2 3 8" xfId="2796" xr:uid="{00000000-0005-0000-0000-0000E80A0000}"/>
    <cellStyle name="Currency 3 2 2 3 8 2" xfId="7021" xr:uid="{00000000-0005-0000-0000-0000E90A0000}"/>
    <cellStyle name="Currency 3 2 2 3 8 2 2" xfId="15450" xr:uid="{EC7810C0-776C-427B-A800-D1C1F821A568}"/>
    <cellStyle name="Currency 3 2 2 3 8 3" xfId="11232" xr:uid="{E93EF192-1AFB-4F4C-8178-C232D683D18E}"/>
    <cellStyle name="Currency 3 2 2 3 9" xfId="4638" xr:uid="{00000000-0005-0000-0000-0000EA0A0000}"/>
    <cellStyle name="Currency 3 2 2 3 9 2" xfId="13067" xr:uid="{55AA54F7-1300-48AD-A30F-E9DBF8F89750}"/>
    <cellStyle name="Currency 3 2 2 4" xfId="709" xr:uid="{00000000-0005-0000-0000-0000EB0A0000}"/>
    <cellStyle name="Currency 3 2 2 4 2" xfId="2970" xr:uid="{00000000-0005-0000-0000-0000EC0A0000}"/>
    <cellStyle name="Currency 3 2 2 4 2 2" xfId="7194" xr:uid="{00000000-0005-0000-0000-0000ED0A0000}"/>
    <cellStyle name="Currency 3 2 2 4 2 2 2" xfId="15623" xr:uid="{8F2B08C6-3A83-4A91-BEF6-BEE92ED10E7B}"/>
    <cellStyle name="Currency 3 2 2 4 2 3" xfId="11405" xr:uid="{53476426-CAA7-45EF-BC27-CA7DA79650D4}"/>
    <cellStyle name="Currency 3 2 2 4 3" xfId="5049" xr:uid="{00000000-0005-0000-0000-0000EE0A0000}"/>
    <cellStyle name="Currency 3 2 2 4 3 2" xfId="13478" xr:uid="{DC2E952D-6DD6-47E5-B18C-99CE7C557296}"/>
    <cellStyle name="Currency 3 2 2 4 4" xfId="9260" xr:uid="{D809077B-3491-4EC3-83D5-429D915F721F}"/>
    <cellStyle name="Currency 3 2 2 5" xfId="1152" xr:uid="{00000000-0005-0000-0000-0000EF0A0000}"/>
    <cellStyle name="Currency 3 2 2 5 2" xfId="3383" xr:uid="{00000000-0005-0000-0000-0000F00A0000}"/>
    <cellStyle name="Currency 3 2 2 5 2 2" xfId="7607" xr:uid="{00000000-0005-0000-0000-0000F10A0000}"/>
    <cellStyle name="Currency 3 2 2 5 2 2 2" xfId="16036" xr:uid="{17B11468-7D2D-4022-BE11-A1BC865F6F9F}"/>
    <cellStyle name="Currency 3 2 2 5 2 3" xfId="11818" xr:uid="{23F0A36F-189E-4200-8643-A5C4854F88C6}"/>
    <cellStyle name="Currency 3 2 2 5 3" xfId="5462" xr:uid="{00000000-0005-0000-0000-0000F20A0000}"/>
    <cellStyle name="Currency 3 2 2 5 3 2" xfId="13891" xr:uid="{C4F11DAF-F4FC-4BAF-9896-BF13EBE4B263}"/>
    <cellStyle name="Currency 3 2 2 5 4" xfId="9673" xr:uid="{259A72B5-704C-4E14-BF81-D4DA02E5CF56}"/>
    <cellStyle name="Currency 3 2 2 6" xfId="1566" xr:uid="{00000000-0005-0000-0000-0000F30A0000}"/>
    <cellStyle name="Currency 3 2 2 6 2" xfId="3796" xr:uid="{00000000-0005-0000-0000-0000F40A0000}"/>
    <cellStyle name="Currency 3 2 2 6 2 2" xfId="8020" xr:uid="{00000000-0005-0000-0000-0000F50A0000}"/>
    <cellStyle name="Currency 3 2 2 6 2 2 2" xfId="16449" xr:uid="{7370AC82-046D-4255-AB4E-E85E00FA92F7}"/>
    <cellStyle name="Currency 3 2 2 6 2 3" xfId="12231" xr:uid="{4C151559-D3D9-4185-A9BA-71371AAA9506}"/>
    <cellStyle name="Currency 3 2 2 6 3" xfId="5875" xr:uid="{00000000-0005-0000-0000-0000F60A0000}"/>
    <cellStyle name="Currency 3 2 2 6 3 2" xfId="14304" xr:uid="{EBBA76A3-374A-43D2-8E46-C409FDB0013B}"/>
    <cellStyle name="Currency 3 2 2 6 4" xfId="10086" xr:uid="{E9DF5190-1EEC-47A0-8588-8F711370012F}"/>
    <cellStyle name="Currency 3 2 2 7" xfId="1980" xr:uid="{00000000-0005-0000-0000-0000F70A0000}"/>
    <cellStyle name="Currency 3 2 2 7 2" xfId="4209" xr:uid="{00000000-0005-0000-0000-0000F80A0000}"/>
    <cellStyle name="Currency 3 2 2 7 2 2" xfId="8433" xr:uid="{00000000-0005-0000-0000-0000F90A0000}"/>
    <cellStyle name="Currency 3 2 2 7 2 2 2" xfId="16862" xr:uid="{48EB6462-EF61-452B-AA29-1DE95432E292}"/>
    <cellStyle name="Currency 3 2 2 7 2 3" xfId="12644" xr:uid="{2745A87D-1F49-4114-8CAB-46A4A68ABFD8}"/>
    <cellStyle name="Currency 3 2 2 7 3" xfId="6288" xr:uid="{00000000-0005-0000-0000-0000FA0A0000}"/>
    <cellStyle name="Currency 3 2 2 7 3 2" xfId="14717" xr:uid="{4011F634-5B5B-4F8D-B98B-2E0B6BDD2B80}"/>
    <cellStyle name="Currency 3 2 2 7 4" xfId="10499" xr:uid="{FA706C27-7A16-48E1-B815-75AE3E104328}"/>
    <cellStyle name="Currency 3 2 2 8" xfId="2415" xr:uid="{00000000-0005-0000-0000-0000FB0A0000}"/>
    <cellStyle name="Currency 3 2 2 8 2" xfId="6701" xr:uid="{00000000-0005-0000-0000-0000FC0A0000}"/>
    <cellStyle name="Currency 3 2 2 8 2 2" xfId="15130" xr:uid="{FD603A5A-154F-4B04-AB0F-3C253BB0F754}"/>
    <cellStyle name="Currency 3 2 2 8 3" xfId="10912" xr:uid="{3B822E70-6DEE-4BF0-9181-49851EE43279}"/>
    <cellStyle name="Currency 3 2 2 9" xfId="2712" xr:uid="{00000000-0005-0000-0000-0000FD0A0000}"/>
    <cellStyle name="Currency 3 2 3" xfId="182" xr:uid="{00000000-0005-0000-0000-0000FE0A0000}"/>
    <cellStyle name="Currency 3 2 3 10" xfId="4639" xr:uid="{00000000-0005-0000-0000-0000FF0A0000}"/>
    <cellStyle name="Currency 3 2 3 10 2" xfId="13068" xr:uid="{9898C980-32DE-4515-B3CA-D276DF631FA8}"/>
    <cellStyle name="Currency 3 2 3 11" xfId="8850" xr:uid="{ACA53A73-35FA-42F8-BE17-0906D10C8846}"/>
    <cellStyle name="Currency 3 2 3 2" xfId="183" xr:uid="{00000000-0005-0000-0000-0000000B0000}"/>
    <cellStyle name="Currency 3 2 3 2 10" xfId="8851" xr:uid="{AF7478ED-009B-496D-B215-15B0F98C2ACD}"/>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2 2" xfId="15628" xr:uid="{AED2743C-B64A-4B83-B816-A41A7B86FD8D}"/>
    <cellStyle name="Currency 3 2 3 2 2 2 3" xfId="11410" xr:uid="{BC39F99C-982D-42E4-9BB0-07B24DAA7C41}"/>
    <cellStyle name="Currency 3 2 3 2 2 3" xfId="5054" xr:uid="{00000000-0005-0000-0000-0000040B0000}"/>
    <cellStyle name="Currency 3 2 3 2 2 3 2" xfId="13483" xr:uid="{7F988E06-0D2F-4FAF-BEAB-B654A22113DC}"/>
    <cellStyle name="Currency 3 2 3 2 2 4" xfId="9265" xr:uid="{E7B31DB0-3A6C-4ACA-B913-1478D0C41F6C}"/>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2 2" xfId="16041" xr:uid="{BD6189FF-98F8-4098-A9D8-F340D5C6AB0E}"/>
    <cellStyle name="Currency 3 2 3 2 3 2 3" xfId="11823" xr:uid="{1AB74C89-0844-4589-B170-A362DE206B03}"/>
    <cellStyle name="Currency 3 2 3 2 3 3" xfId="5467" xr:uid="{00000000-0005-0000-0000-0000080B0000}"/>
    <cellStyle name="Currency 3 2 3 2 3 3 2" xfId="13896" xr:uid="{862CFF05-8F41-44F4-B406-41001C472099}"/>
    <cellStyle name="Currency 3 2 3 2 3 4" xfId="9678" xr:uid="{D77F028C-463B-415B-A7A9-2B1B75459726}"/>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2 2" xfId="16454" xr:uid="{4A661958-61D4-4F8D-A8A1-5364A2E26B97}"/>
    <cellStyle name="Currency 3 2 3 2 4 2 3" xfId="12236" xr:uid="{71B30C19-B8CC-4D6F-B387-7229EC3B6DB3}"/>
    <cellStyle name="Currency 3 2 3 2 4 3" xfId="5880" xr:uid="{00000000-0005-0000-0000-00000C0B0000}"/>
    <cellStyle name="Currency 3 2 3 2 4 3 2" xfId="14309" xr:uid="{A1C7C1E0-FF09-41DA-B2E2-214495620D3C}"/>
    <cellStyle name="Currency 3 2 3 2 4 4" xfId="10091" xr:uid="{7BE510C2-09BD-4622-8250-9220567C21CF}"/>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2 2" xfId="16867" xr:uid="{F67AD91D-E154-400F-9880-4074F087662C}"/>
    <cellStyle name="Currency 3 2 3 2 5 2 3" xfId="12649" xr:uid="{6CEC7540-42CE-43AD-959F-67ABA382A7E1}"/>
    <cellStyle name="Currency 3 2 3 2 5 3" xfId="6293" xr:uid="{00000000-0005-0000-0000-0000100B0000}"/>
    <cellStyle name="Currency 3 2 3 2 5 3 2" xfId="14722" xr:uid="{D659F4FF-3690-46AC-9633-4C8A5F5616D2}"/>
    <cellStyle name="Currency 3 2 3 2 5 4" xfId="10504" xr:uid="{2996C6CC-9D73-4C48-BC43-B3A3E7AD6297}"/>
    <cellStyle name="Currency 3 2 3 2 6" xfId="2420" xr:uid="{00000000-0005-0000-0000-0000110B0000}"/>
    <cellStyle name="Currency 3 2 3 2 6 2" xfId="6706" xr:uid="{00000000-0005-0000-0000-0000120B0000}"/>
    <cellStyle name="Currency 3 2 3 2 6 2 2" xfId="15135" xr:uid="{4DD7FB87-09B7-43C6-B55C-AAEC565371AE}"/>
    <cellStyle name="Currency 3 2 3 2 6 3" xfId="10917" xr:uid="{11030A05-DD32-47CD-AB33-89FB6E40B6F7}"/>
    <cellStyle name="Currency 3 2 3 2 7" xfId="2717" xr:uid="{00000000-0005-0000-0000-0000130B0000}"/>
    <cellStyle name="Currency 3 2 3 2 8" xfId="2798" xr:uid="{00000000-0005-0000-0000-0000140B0000}"/>
    <cellStyle name="Currency 3 2 3 2 8 2" xfId="7023" xr:uid="{00000000-0005-0000-0000-0000150B0000}"/>
    <cellStyle name="Currency 3 2 3 2 8 2 2" xfId="15452" xr:uid="{448D6B8C-A33D-4896-B8AF-2C41475F934B}"/>
    <cellStyle name="Currency 3 2 3 2 8 3" xfId="11234" xr:uid="{20DA5A8D-D669-4A13-8A89-F228E2DE7D71}"/>
    <cellStyle name="Currency 3 2 3 2 9" xfId="4640" xr:uid="{00000000-0005-0000-0000-0000160B0000}"/>
    <cellStyle name="Currency 3 2 3 2 9 2" xfId="13069" xr:uid="{D095F8F1-0303-4D38-A7AC-BFF3F5F395B9}"/>
    <cellStyle name="Currency 3 2 3 3" xfId="713" xr:uid="{00000000-0005-0000-0000-0000170B0000}"/>
    <cellStyle name="Currency 3 2 3 3 2" xfId="2974" xr:uid="{00000000-0005-0000-0000-0000180B0000}"/>
    <cellStyle name="Currency 3 2 3 3 2 2" xfId="7198" xr:uid="{00000000-0005-0000-0000-0000190B0000}"/>
    <cellStyle name="Currency 3 2 3 3 2 2 2" xfId="15627" xr:uid="{F3481640-98A5-45C5-9B78-75BE1C10ED0D}"/>
    <cellStyle name="Currency 3 2 3 3 2 3" xfId="11409" xr:uid="{BBC32319-A743-4D9D-9969-647F25511865}"/>
    <cellStyle name="Currency 3 2 3 3 3" xfId="5053" xr:uid="{00000000-0005-0000-0000-00001A0B0000}"/>
    <cellStyle name="Currency 3 2 3 3 3 2" xfId="13482" xr:uid="{15AE9B89-2DEA-4EFD-B5D8-34846ABA8029}"/>
    <cellStyle name="Currency 3 2 3 3 4" xfId="9264" xr:uid="{B9553043-0426-4BB7-9E3F-A8AD1158000E}"/>
    <cellStyle name="Currency 3 2 3 4" xfId="1156" xr:uid="{00000000-0005-0000-0000-00001B0B0000}"/>
    <cellStyle name="Currency 3 2 3 4 2" xfId="3387" xr:uid="{00000000-0005-0000-0000-00001C0B0000}"/>
    <cellStyle name="Currency 3 2 3 4 2 2" xfId="7611" xr:uid="{00000000-0005-0000-0000-00001D0B0000}"/>
    <cellStyle name="Currency 3 2 3 4 2 2 2" xfId="16040" xr:uid="{63B8C586-E877-4AF0-AD01-D60AD750AA98}"/>
    <cellStyle name="Currency 3 2 3 4 2 3" xfId="11822" xr:uid="{517DD16F-3F1B-4F3A-8F7D-4AF70954EE68}"/>
    <cellStyle name="Currency 3 2 3 4 3" xfId="5466" xr:uid="{00000000-0005-0000-0000-00001E0B0000}"/>
    <cellStyle name="Currency 3 2 3 4 3 2" xfId="13895" xr:uid="{694B22EE-D4B1-4608-B845-A8AF5E39FE47}"/>
    <cellStyle name="Currency 3 2 3 4 4" xfId="9677" xr:uid="{D193FF5B-3F15-4172-BC3A-34F106491BB2}"/>
    <cellStyle name="Currency 3 2 3 5" xfId="1570" xr:uid="{00000000-0005-0000-0000-00001F0B0000}"/>
    <cellStyle name="Currency 3 2 3 5 2" xfId="3800" xr:uid="{00000000-0005-0000-0000-0000200B0000}"/>
    <cellStyle name="Currency 3 2 3 5 2 2" xfId="8024" xr:uid="{00000000-0005-0000-0000-0000210B0000}"/>
    <cellStyle name="Currency 3 2 3 5 2 2 2" xfId="16453" xr:uid="{0B293448-20AE-45FC-801C-7E864C795CB8}"/>
    <cellStyle name="Currency 3 2 3 5 2 3" xfId="12235" xr:uid="{4E5FFCBB-2546-4318-859B-88118E65E582}"/>
    <cellStyle name="Currency 3 2 3 5 3" xfId="5879" xr:uid="{00000000-0005-0000-0000-0000220B0000}"/>
    <cellStyle name="Currency 3 2 3 5 3 2" xfId="14308" xr:uid="{1EF03DCA-FDEC-4C27-A992-282E7D3C6A3D}"/>
    <cellStyle name="Currency 3 2 3 5 4" xfId="10090" xr:uid="{A0E345A9-CC4F-44CA-BEAE-6A6A4038BE18}"/>
    <cellStyle name="Currency 3 2 3 6" xfId="1984" xr:uid="{00000000-0005-0000-0000-0000230B0000}"/>
    <cellStyle name="Currency 3 2 3 6 2" xfId="4213" xr:uid="{00000000-0005-0000-0000-0000240B0000}"/>
    <cellStyle name="Currency 3 2 3 6 2 2" xfId="8437" xr:uid="{00000000-0005-0000-0000-0000250B0000}"/>
    <cellStyle name="Currency 3 2 3 6 2 2 2" xfId="16866" xr:uid="{4FB4BCC2-BADD-4283-9255-FA57E755AC2A}"/>
    <cellStyle name="Currency 3 2 3 6 2 3" xfId="12648" xr:uid="{B83A9E08-E57F-43ED-AB28-61FC366F4BD5}"/>
    <cellStyle name="Currency 3 2 3 6 3" xfId="6292" xr:uid="{00000000-0005-0000-0000-0000260B0000}"/>
    <cellStyle name="Currency 3 2 3 6 3 2" xfId="14721" xr:uid="{B81015E9-92CA-4B0E-A991-523050C441AC}"/>
    <cellStyle name="Currency 3 2 3 6 4" xfId="10503" xr:uid="{2481892E-D59D-4E58-90FF-1A1CDC8D173F}"/>
    <cellStyle name="Currency 3 2 3 7" xfId="2419" xr:uid="{00000000-0005-0000-0000-0000270B0000}"/>
    <cellStyle name="Currency 3 2 3 7 2" xfId="6705" xr:uid="{00000000-0005-0000-0000-0000280B0000}"/>
    <cellStyle name="Currency 3 2 3 7 2 2" xfId="15134" xr:uid="{8BC1F4B8-0BBD-49B7-B99C-86E84B79F0B0}"/>
    <cellStyle name="Currency 3 2 3 7 3" xfId="10916" xr:uid="{78959E1E-0352-4C3C-BC4F-3F3E733899A3}"/>
    <cellStyle name="Currency 3 2 3 8" xfId="2716" xr:uid="{00000000-0005-0000-0000-0000290B0000}"/>
    <cellStyle name="Currency 3 2 3 9" xfId="2797" xr:uid="{00000000-0005-0000-0000-00002A0B0000}"/>
    <cellStyle name="Currency 3 2 3 9 2" xfId="7022" xr:uid="{00000000-0005-0000-0000-00002B0B0000}"/>
    <cellStyle name="Currency 3 2 3 9 2 2" xfId="15451" xr:uid="{9690ACBD-EC4D-4AAB-B473-230E2AA27378}"/>
    <cellStyle name="Currency 3 2 3 9 3" xfId="11233" xr:uid="{50173C30-9601-4674-8B8B-CD8FA6F1C409}"/>
    <cellStyle name="Currency 3 2 4" xfId="184" xr:uid="{00000000-0005-0000-0000-00002C0B0000}"/>
    <cellStyle name="Currency 3 2 4 10" xfId="8852" xr:uid="{779032E0-3C22-4D96-AD18-E55FDC9B0393}"/>
    <cellStyle name="Currency 3 2 4 2" xfId="715" xr:uid="{00000000-0005-0000-0000-00002D0B0000}"/>
    <cellStyle name="Currency 3 2 4 2 2" xfId="2976" xr:uid="{00000000-0005-0000-0000-00002E0B0000}"/>
    <cellStyle name="Currency 3 2 4 2 2 2" xfId="7200" xr:uid="{00000000-0005-0000-0000-00002F0B0000}"/>
    <cellStyle name="Currency 3 2 4 2 2 2 2" xfId="15629" xr:uid="{0B89DCAD-F72F-4F2A-857E-CDF199875461}"/>
    <cellStyle name="Currency 3 2 4 2 2 3" xfId="11411" xr:uid="{E5300496-A3E4-4300-ACC1-C84F21A528CC}"/>
    <cellStyle name="Currency 3 2 4 2 3" xfId="5055" xr:uid="{00000000-0005-0000-0000-0000300B0000}"/>
    <cellStyle name="Currency 3 2 4 2 3 2" xfId="13484" xr:uid="{5D4312E2-EE54-4F2B-81ED-F30D2A979E85}"/>
    <cellStyle name="Currency 3 2 4 2 4" xfId="9266" xr:uid="{4DAC248F-A754-4A13-9F0D-5BCA61F617D1}"/>
    <cellStyle name="Currency 3 2 4 3" xfId="1158" xr:uid="{00000000-0005-0000-0000-0000310B0000}"/>
    <cellStyle name="Currency 3 2 4 3 2" xfId="3389" xr:uid="{00000000-0005-0000-0000-0000320B0000}"/>
    <cellStyle name="Currency 3 2 4 3 2 2" xfId="7613" xr:uid="{00000000-0005-0000-0000-0000330B0000}"/>
    <cellStyle name="Currency 3 2 4 3 2 2 2" xfId="16042" xr:uid="{F9DAADA7-BF2E-40C7-9606-B5318FF9EC28}"/>
    <cellStyle name="Currency 3 2 4 3 2 3" xfId="11824" xr:uid="{54F60DBA-7B56-4FA7-B8E8-393F9EB20FD3}"/>
    <cellStyle name="Currency 3 2 4 3 3" xfId="5468" xr:uid="{00000000-0005-0000-0000-0000340B0000}"/>
    <cellStyle name="Currency 3 2 4 3 3 2" xfId="13897" xr:uid="{8A169B3E-EF5A-46E9-A723-7BAE2D6C0522}"/>
    <cellStyle name="Currency 3 2 4 3 4" xfId="9679" xr:uid="{D9575D6F-7C73-46DB-A6DD-4C5C71171B5D}"/>
    <cellStyle name="Currency 3 2 4 4" xfId="1572" xr:uid="{00000000-0005-0000-0000-0000350B0000}"/>
    <cellStyle name="Currency 3 2 4 4 2" xfId="3802" xr:uid="{00000000-0005-0000-0000-0000360B0000}"/>
    <cellStyle name="Currency 3 2 4 4 2 2" xfId="8026" xr:uid="{00000000-0005-0000-0000-0000370B0000}"/>
    <cellStyle name="Currency 3 2 4 4 2 2 2" xfId="16455" xr:uid="{75CC3AE9-73D5-4737-A334-7378522886DB}"/>
    <cellStyle name="Currency 3 2 4 4 2 3" xfId="12237" xr:uid="{E19D81EE-9211-4546-9A04-ED933BFB41A9}"/>
    <cellStyle name="Currency 3 2 4 4 3" xfId="5881" xr:uid="{00000000-0005-0000-0000-0000380B0000}"/>
    <cellStyle name="Currency 3 2 4 4 3 2" xfId="14310" xr:uid="{61E76B02-626E-46C5-ABF0-BED16D2C1763}"/>
    <cellStyle name="Currency 3 2 4 4 4" xfId="10092" xr:uid="{2BBC9464-545F-43C3-B1BE-E925EAF9AD4F}"/>
    <cellStyle name="Currency 3 2 4 5" xfId="1986" xr:uid="{00000000-0005-0000-0000-0000390B0000}"/>
    <cellStyle name="Currency 3 2 4 5 2" xfId="4215" xr:uid="{00000000-0005-0000-0000-00003A0B0000}"/>
    <cellStyle name="Currency 3 2 4 5 2 2" xfId="8439" xr:uid="{00000000-0005-0000-0000-00003B0B0000}"/>
    <cellStyle name="Currency 3 2 4 5 2 2 2" xfId="16868" xr:uid="{8BA80162-8036-43BC-B0EE-97BB355564E4}"/>
    <cellStyle name="Currency 3 2 4 5 2 3" xfId="12650" xr:uid="{029DA300-383D-42F5-B21F-C098A7E808C6}"/>
    <cellStyle name="Currency 3 2 4 5 3" xfId="6294" xr:uid="{00000000-0005-0000-0000-00003C0B0000}"/>
    <cellStyle name="Currency 3 2 4 5 3 2" xfId="14723" xr:uid="{55E0C375-EE26-47AD-B40A-41424BE6D4EB}"/>
    <cellStyle name="Currency 3 2 4 5 4" xfId="10505" xr:uid="{01054AB7-1F28-454B-9F42-D39603615ADD}"/>
    <cellStyle name="Currency 3 2 4 6" xfId="2421" xr:uid="{00000000-0005-0000-0000-00003D0B0000}"/>
    <cellStyle name="Currency 3 2 4 6 2" xfId="6707" xr:uid="{00000000-0005-0000-0000-00003E0B0000}"/>
    <cellStyle name="Currency 3 2 4 6 2 2" xfId="15136" xr:uid="{AE2FA50A-A5CC-421A-AFD1-CE443C1410DB}"/>
    <cellStyle name="Currency 3 2 4 6 3" xfId="10918" xr:uid="{09723FDA-3CAA-44B8-8AB9-6E9D88DA5278}"/>
    <cellStyle name="Currency 3 2 4 7" xfId="2718" xr:uid="{00000000-0005-0000-0000-00003F0B0000}"/>
    <cellStyle name="Currency 3 2 4 8" xfId="2799" xr:uid="{00000000-0005-0000-0000-0000400B0000}"/>
    <cellStyle name="Currency 3 2 4 8 2" xfId="7024" xr:uid="{00000000-0005-0000-0000-0000410B0000}"/>
    <cellStyle name="Currency 3 2 4 8 2 2" xfId="15453" xr:uid="{B9237F79-8F60-4D42-AFA3-9653BCDD9834}"/>
    <cellStyle name="Currency 3 2 4 8 3" xfId="11235" xr:uid="{D2DB3ECD-F71F-4925-A666-6A5095D7632A}"/>
    <cellStyle name="Currency 3 2 4 9" xfId="4641" xr:uid="{00000000-0005-0000-0000-0000420B0000}"/>
    <cellStyle name="Currency 3 2 4 9 2" xfId="13070" xr:uid="{B6791AC5-AACD-4ECD-BB63-E2CDD723BA30}"/>
    <cellStyle name="Currency 3 2 5" xfId="185" xr:uid="{00000000-0005-0000-0000-0000430B0000}"/>
    <cellStyle name="Currency 3 2 5 10" xfId="8853" xr:uid="{E8503994-1E23-4C1E-9835-4250652A944C}"/>
    <cellStyle name="Currency 3 2 5 2" xfId="716" xr:uid="{00000000-0005-0000-0000-0000440B0000}"/>
    <cellStyle name="Currency 3 2 5 2 2" xfId="2977" xr:uid="{00000000-0005-0000-0000-0000450B0000}"/>
    <cellStyle name="Currency 3 2 5 2 2 2" xfId="7201" xr:uid="{00000000-0005-0000-0000-0000460B0000}"/>
    <cellStyle name="Currency 3 2 5 2 2 2 2" xfId="15630" xr:uid="{AD63FD85-9E51-4609-A55C-B31D0E76C02E}"/>
    <cellStyle name="Currency 3 2 5 2 2 3" xfId="11412" xr:uid="{002FA096-B765-499A-AE86-95019DE2F4C9}"/>
    <cellStyle name="Currency 3 2 5 2 3" xfId="5056" xr:uid="{00000000-0005-0000-0000-0000470B0000}"/>
    <cellStyle name="Currency 3 2 5 2 3 2" xfId="13485" xr:uid="{08D60E13-B26F-46D5-A856-1C6C9F13B98F}"/>
    <cellStyle name="Currency 3 2 5 2 4" xfId="9267" xr:uid="{E1F85E62-087B-45B8-BAED-6DBAF3D83CA4}"/>
    <cellStyle name="Currency 3 2 5 3" xfId="1159" xr:uid="{00000000-0005-0000-0000-0000480B0000}"/>
    <cellStyle name="Currency 3 2 5 3 2" xfId="3390" xr:uid="{00000000-0005-0000-0000-0000490B0000}"/>
    <cellStyle name="Currency 3 2 5 3 2 2" xfId="7614" xr:uid="{00000000-0005-0000-0000-00004A0B0000}"/>
    <cellStyle name="Currency 3 2 5 3 2 2 2" xfId="16043" xr:uid="{B19D648A-F324-422D-9959-45D4DFB04871}"/>
    <cellStyle name="Currency 3 2 5 3 2 3" xfId="11825" xr:uid="{6DAE75AC-5FA1-46FD-8C51-B3B889022A3B}"/>
    <cellStyle name="Currency 3 2 5 3 3" xfId="5469" xr:uid="{00000000-0005-0000-0000-00004B0B0000}"/>
    <cellStyle name="Currency 3 2 5 3 3 2" xfId="13898" xr:uid="{66A82E64-B188-4168-9C71-3D2294C4BDA4}"/>
    <cellStyle name="Currency 3 2 5 3 4" xfId="9680" xr:uid="{1C4081B5-17DE-4E89-A8C6-9E91E39330EC}"/>
    <cellStyle name="Currency 3 2 5 4" xfId="1573" xr:uid="{00000000-0005-0000-0000-00004C0B0000}"/>
    <cellStyle name="Currency 3 2 5 4 2" xfId="3803" xr:uid="{00000000-0005-0000-0000-00004D0B0000}"/>
    <cellStyle name="Currency 3 2 5 4 2 2" xfId="8027" xr:uid="{00000000-0005-0000-0000-00004E0B0000}"/>
    <cellStyle name="Currency 3 2 5 4 2 2 2" xfId="16456" xr:uid="{B49CF7B5-1C61-471C-B569-96CA3AE1E9E0}"/>
    <cellStyle name="Currency 3 2 5 4 2 3" xfId="12238" xr:uid="{220446A7-8676-43E6-B55F-009D52A9916E}"/>
    <cellStyle name="Currency 3 2 5 4 3" xfId="5882" xr:uid="{00000000-0005-0000-0000-00004F0B0000}"/>
    <cellStyle name="Currency 3 2 5 4 3 2" xfId="14311" xr:uid="{E2C8E9A7-7E90-4357-A79C-66766D33E310}"/>
    <cellStyle name="Currency 3 2 5 4 4" xfId="10093" xr:uid="{89E472A9-E86D-462F-A757-96F93ABE4570}"/>
    <cellStyle name="Currency 3 2 5 5" xfId="1987" xr:uid="{00000000-0005-0000-0000-0000500B0000}"/>
    <cellStyle name="Currency 3 2 5 5 2" xfId="4216" xr:uid="{00000000-0005-0000-0000-0000510B0000}"/>
    <cellStyle name="Currency 3 2 5 5 2 2" xfId="8440" xr:uid="{00000000-0005-0000-0000-0000520B0000}"/>
    <cellStyle name="Currency 3 2 5 5 2 2 2" xfId="16869" xr:uid="{BE9BCF1F-C9FD-4FBF-A26B-FF0AB831765B}"/>
    <cellStyle name="Currency 3 2 5 5 2 3" xfId="12651" xr:uid="{97A01D76-4B4C-4916-9A5E-2C3A5F9CC0E3}"/>
    <cellStyle name="Currency 3 2 5 5 3" xfId="6295" xr:uid="{00000000-0005-0000-0000-0000530B0000}"/>
    <cellStyle name="Currency 3 2 5 5 3 2" xfId="14724" xr:uid="{3CEB4F03-ECCB-44B1-B90A-1B1A6D176B5A}"/>
    <cellStyle name="Currency 3 2 5 5 4" xfId="10506" xr:uid="{735F9D39-EF38-46CF-8672-BB9B8FD05AB9}"/>
    <cellStyle name="Currency 3 2 5 6" xfId="2422" xr:uid="{00000000-0005-0000-0000-0000540B0000}"/>
    <cellStyle name="Currency 3 2 5 6 2" xfId="6708" xr:uid="{00000000-0005-0000-0000-0000550B0000}"/>
    <cellStyle name="Currency 3 2 5 6 2 2" xfId="15137" xr:uid="{21DD7060-4BCE-4E68-A62F-9B360AD6162D}"/>
    <cellStyle name="Currency 3 2 5 6 3" xfId="10919" xr:uid="{E557F275-0F30-4FEE-9F0C-AC9298D89B60}"/>
    <cellStyle name="Currency 3 2 5 7" xfId="2719" xr:uid="{00000000-0005-0000-0000-0000560B0000}"/>
    <cellStyle name="Currency 3 2 5 8" xfId="2800" xr:uid="{00000000-0005-0000-0000-0000570B0000}"/>
    <cellStyle name="Currency 3 2 5 8 2" xfId="7025" xr:uid="{00000000-0005-0000-0000-0000580B0000}"/>
    <cellStyle name="Currency 3 2 5 8 2 2" xfId="15454" xr:uid="{347DDBF9-C03A-4958-A612-82C490EC8A2A}"/>
    <cellStyle name="Currency 3 2 5 8 3" xfId="11236" xr:uid="{887BB187-0F6F-488F-8D7C-727D3AD6D2BA}"/>
    <cellStyle name="Currency 3 2 5 9" xfId="4642" xr:uid="{00000000-0005-0000-0000-0000590B0000}"/>
    <cellStyle name="Currency 3 2 5 9 2" xfId="13071" xr:uid="{E52920A4-0FC5-496F-810E-3AAB2493B8DA}"/>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2 2" xfId="15455" xr:uid="{B0E2C85C-B1DB-496C-8411-BDD0E0FEFDBF}"/>
    <cellStyle name="Currency 5 2 2 2 10 3" xfId="11237" xr:uid="{23C19BA4-7D51-4DAB-88DD-14277B3C19D4}"/>
    <cellStyle name="Currency 5 2 2 2 11" xfId="4643" xr:uid="{00000000-0005-0000-0000-00006C0B0000}"/>
    <cellStyle name="Currency 5 2 2 2 11 2" xfId="13072" xr:uid="{1BE81B60-3F58-4AED-999D-2A1904C0A21D}"/>
    <cellStyle name="Currency 5 2 2 2 12" xfId="8854" xr:uid="{A6A43F84-38C7-494E-A432-3C1AB5C6B01B}"/>
    <cellStyle name="Currency 5 2 2 2 2" xfId="197" xr:uid="{00000000-0005-0000-0000-00006D0B0000}"/>
    <cellStyle name="Currency 5 2 2 2 2 10" xfId="4644" xr:uid="{00000000-0005-0000-0000-00006E0B0000}"/>
    <cellStyle name="Currency 5 2 2 2 2 10 2" xfId="13073" xr:uid="{E2E7CD70-12EA-4E5F-BB59-E4FF7CDCCC20}"/>
    <cellStyle name="Currency 5 2 2 2 2 11" xfId="8855" xr:uid="{023D136F-147C-4CC5-B1D4-F6917DC19691}"/>
    <cellStyle name="Currency 5 2 2 2 2 2" xfId="198" xr:uid="{00000000-0005-0000-0000-00006F0B0000}"/>
    <cellStyle name="Currency 5 2 2 2 2 2 10" xfId="8856" xr:uid="{E5A26BE1-0EA5-488B-802D-A37842D1ED8B}"/>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2 2" xfId="15633" xr:uid="{F66CBAE5-04EA-4E67-8738-30C559D17DC1}"/>
    <cellStyle name="Currency 5 2 2 2 2 2 2 2 3" xfId="11415" xr:uid="{15D6A6F8-E509-43FF-84C6-8A35B74B1963}"/>
    <cellStyle name="Currency 5 2 2 2 2 2 2 3" xfId="5059" xr:uid="{00000000-0005-0000-0000-0000730B0000}"/>
    <cellStyle name="Currency 5 2 2 2 2 2 2 3 2" xfId="13488" xr:uid="{BA13DB6C-D507-4156-8773-BDDE23FC7586}"/>
    <cellStyle name="Currency 5 2 2 2 2 2 2 4" xfId="9270" xr:uid="{7E5EFC6D-CADC-4B42-98BC-B5A7DF56239A}"/>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2 2" xfId="16046" xr:uid="{23AE3E23-5170-4B00-88C1-668FDEDFED5A}"/>
    <cellStyle name="Currency 5 2 2 2 2 2 3 2 3" xfId="11828" xr:uid="{6A8955B0-0371-4D7E-849E-E8ABB107A3EC}"/>
    <cellStyle name="Currency 5 2 2 2 2 2 3 3" xfId="5472" xr:uid="{00000000-0005-0000-0000-0000770B0000}"/>
    <cellStyle name="Currency 5 2 2 2 2 2 3 3 2" xfId="13901" xr:uid="{BE8BC257-21DC-42CC-BE2A-4BCFA5D4DF30}"/>
    <cellStyle name="Currency 5 2 2 2 2 2 3 4" xfId="9683" xr:uid="{B83B0532-EB2C-4810-8825-B850835B6C68}"/>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2 2" xfId="16459" xr:uid="{C60DA84F-480B-4EC2-ABF0-5FD8EFB2472A}"/>
    <cellStyle name="Currency 5 2 2 2 2 2 4 2 3" xfId="12241" xr:uid="{9ACE6CE6-E8B6-43F3-896D-BB4076E3A3DB}"/>
    <cellStyle name="Currency 5 2 2 2 2 2 4 3" xfId="5885" xr:uid="{00000000-0005-0000-0000-00007B0B0000}"/>
    <cellStyle name="Currency 5 2 2 2 2 2 4 3 2" xfId="14314" xr:uid="{B314E3B5-5056-4ED3-A3F3-B450B1A6A6D2}"/>
    <cellStyle name="Currency 5 2 2 2 2 2 4 4" xfId="10096" xr:uid="{FEC63106-832B-4EAA-B124-3A3282408C42}"/>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2 2" xfId="16872" xr:uid="{C40239DD-5681-4929-B9ED-58EA3454052E}"/>
    <cellStyle name="Currency 5 2 2 2 2 2 5 2 3" xfId="12654" xr:uid="{2A963A5F-C916-4D5C-A108-03FD0FECB8FA}"/>
    <cellStyle name="Currency 5 2 2 2 2 2 5 3" xfId="6298" xr:uid="{00000000-0005-0000-0000-00007F0B0000}"/>
    <cellStyle name="Currency 5 2 2 2 2 2 5 3 2" xfId="14727" xr:uid="{441E1077-7C8F-417A-B7EE-CCE6195743AF}"/>
    <cellStyle name="Currency 5 2 2 2 2 2 5 4" xfId="10509" xr:uid="{3BF58EA4-F7A2-40CB-ABDF-427B508200A3}"/>
    <cellStyle name="Currency 5 2 2 2 2 2 6" xfId="2425" xr:uid="{00000000-0005-0000-0000-0000800B0000}"/>
    <cellStyle name="Currency 5 2 2 2 2 2 6 2" xfId="6711" xr:uid="{00000000-0005-0000-0000-0000810B0000}"/>
    <cellStyle name="Currency 5 2 2 2 2 2 6 2 2" xfId="15140" xr:uid="{A851F73B-7629-452C-9B31-44DD31D18FC3}"/>
    <cellStyle name="Currency 5 2 2 2 2 2 6 3" xfId="10922" xr:uid="{24E7FD2B-F8AF-40E6-B66A-D474A1D5E565}"/>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2 2" xfId="15457" xr:uid="{D5EBF622-C29D-4D8E-B5DF-2435E6BA6CA2}"/>
    <cellStyle name="Currency 5 2 2 2 2 2 8 3" xfId="11239" xr:uid="{451D26C4-F4C8-421E-A21F-3F9270E8E4F4}"/>
    <cellStyle name="Currency 5 2 2 2 2 2 9" xfId="4645" xr:uid="{00000000-0005-0000-0000-0000850B0000}"/>
    <cellStyle name="Currency 5 2 2 2 2 2 9 2" xfId="13074" xr:uid="{D7F468D7-5A7B-4137-A3A0-8D7D1E847826}"/>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2 2" xfId="15632" xr:uid="{84107DCC-069A-4E2D-95C7-49C83683B83F}"/>
    <cellStyle name="Currency 5 2 2 2 2 3 2 3" xfId="11414" xr:uid="{EEF439C7-B228-4C85-AC51-71A763EE7501}"/>
    <cellStyle name="Currency 5 2 2 2 2 3 3" xfId="5058" xr:uid="{00000000-0005-0000-0000-0000890B0000}"/>
    <cellStyle name="Currency 5 2 2 2 2 3 3 2" xfId="13487" xr:uid="{74741ED4-C5B7-4C30-8FFF-10BE38CF2DEF}"/>
    <cellStyle name="Currency 5 2 2 2 2 3 4" xfId="9269" xr:uid="{4B4292EE-86F5-4357-A69E-190F00B4043D}"/>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2 2" xfId="16045" xr:uid="{9DF41524-BF8E-4901-8B0B-E46665611B4A}"/>
    <cellStyle name="Currency 5 2 2 2 2 4 2 3" xfId="11827" xr:uid="{6C0ADFB0-6A07-4971-9421-AB5264B4BD98}"/>
    <cellStyle name="Currency 5 2 2 2 2 4 3" xfId="5471" xr:uid="{00000000-0005-0000-0000-00008D0B0000}"/>
    <cellStyle name="Currency 5 2 2 2 2 4 3 2" xfId="13900" xr:uid="{32014C74-8BE9-4966-ADEC-FFFC98CF96AF}"/>
    <cellStyle name="Currency 5 2 2 2 2 4 4" xfId="9682" xr:uid="{14A78A7F-9732-4809-A6CF-377A92C3F412}"/>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2 2" xfId="16458" xr:uid="{CEBBE9BB-8B60-44AA-8885-FB2EBF58C660}"/>
    <cellStyle name="Currency 5 2 2 2 2 5 2 3" xfId="12240" xr:uid="{CCE9AB46-1FEC-4A40-9364-6EC6EE0DD2D8}"/>
    <cellStyle name="Currency 5 2 2 2 2 5 3" xfId="5884" xr:uid="{00000000-0005-0000-0000-0000910B0000}"/>
    <cellStyle name="Currency 5 2 2 2 2 5 3 2" xfId="14313" xr:uid="{D1E69E3C-9B40-43E1-A5B1-66B5BF0D82B2}"/>
    <cellStyle name="Currency 5 2 2 2 2 5 4" xfId="10095" xr:uid="{957B729A-7C73-4295-851D-62F5D57BE20D}"/>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2 2" xfId="16871" xr:uid="{A8CE2D76-32AD-47E5-B8BE-D052F4FD3106}"/>
    <cellStyle name="Currency 5 2 2 2 2 6 2 3" xfId="12653" xr:uid="{932270C6-6F11-4221-9E14-252D18731F6B}"/>
    <cellStyle name="Currency 5 2 2 2 2 6 3" xfId="6297" xr:uid="{00000000-0005-0000-0000-0000950B0000}"/>
    <cellStyle name="Currency 5 2 2 2 2 6 3 2" xfId="14726" xr:uid="{C90187DE-C206-4FE4-9A4A-547BA53CDBAE}"/>
    <cellStyle name="Currency 5 2 2 2 2 6 4" xfId="10508" xr:uid="{AF443331-952C-4E96-9FCB-17904166B2A4}"/>
    <cellStyle name="Currency 5 2 2 2 2 7" xfId="2424" xr:uid="{00000000-0005-0000-0000-0000960B0000}"/>
    <cellStyle name="Currency 5 2 2 2 2 7 2" xfId="6710" xr:uid="{00000000-0005-0000-0000-0000970B0000}"/>
    <cellStyle name="Currency 5 2 2 2 2 7 2 2" xfId="15139" xr:uid="{1712142F-673D-4A5C-AB97-6BDAA8406DAE}"/>
    <cellStyle name="Currency 5 2 2 2 2 7 3" xfId="10921" xr:uid="{4CA2AE26-8154-4946-9837-7943DF7F9C54}"/>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2 2" xfId="15456" xr:uid="{5091811D-81E8-4E51-8965-248FDBF3B381}"/>
    <cellStyle name="Currency 5 2 2 2 2 9 3" xfId="11238" xr:uid="{484EB4F8-28AA-4DDF-A224-228E65F03D2E}"/>
    <cellStyle name="Currency 5 2 2 2 3" xfId="199" xr:uid="{00000000-0005-0000-0000-00009B0B0000}"/>
    <cellStyle name="Currency 5 2 2 2 3 10" xfId="8857" xr:uid="{36E3A9C4-F034-4624-BE3F-12EA25B425FE}"/>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2 2" xfId="15634" xr:uid="{EBACC0C3-4B15-438C-BB1E-A468870D7A06}"/>
    <cellStyle name="Currency 5 2 2 2 3 2 2 3" xfId="11416" xr:uid="{D444FDDA-7273-4040-9BAB-30923796A26A}"/>
    <cellStyle name="Currency 5 2 2 2 3 2 3" xfId="5060" xr:uid="{00000000-0005-0000-0000-00009F0B0000}"/>
    <cellStyle name="Currency 5 2 2 2 3 2 3 2" xfId="13489" xr:uid="{F108B2C0-EB8F-42BB-9820-0B9641295837}"/>
    <cellStyle name="Currency 5 2 2 2 3 2 4" xfId="9271" xr:uid="{D4E39207-6781-4602-B23C-D6C196D557BD}"/>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2 2" xfId="16047" xr:uid="{200E8544-C824-4F91-83C7-704DD9752542}"/>
    <cellStyle name="Currency 5 2 2 2 3 3 2 3" xfId="11829" xr:uid="{71C39EFB-8BCB-44EB-9E8F-86EECFB3EDDD}"/>
    <cellStyle name="Currency 5 2 2 2 3 3 3" xfId="5473" xr:uid="{00000000-0005-0000-0000-0000A30B0000}"/>
    <cellStyle name="Currency 5 2 2 2 3 3 3 2" xfId="13902" xr:uid="{9A793998-01A6-40F8-A081-1F3C33151E77}"/>
    <cellStyle name="Currency 5 2 2 2 3 3 4" xfId="9684" xr:uid="{2C11B11A-9ED3-4D96-AEC7-B1F78639986C}"/>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2 2" xfId="16460" xr:uid="{14D96B85-FDD0-4250-9544-83915737212E}"/>
    <cellStyle name="Currency 5 2 2 2 3 4 2 3" xfId="12242" xr:uid="{014CB232-6C80-4C69-8A0A-17985FC1AE9B}"/>
    <cellStyle name="Currency 5 2 2 2 3 4 3" xfId="5886" xr:uid="{00000000-0005-0000-0000-0000A70B0000}"/>
    <cellStyle name="Currency 5 2 2 2 3 4 3 2" xfId="14315" xr:uid="{1AA57F07-F72E-4328-8615-E1950A80B125}"/>
    <cellStyle name="Currency 5 2 2 2 3 4 4" xfId="10097" xr:uid="{9E1487C4-3048-4D52-8CC0-B4348BA576BA}"/>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2 2" xfId="16873" xr:uid="{0E81C58D-E867-4CE1-9A70-595743A0B6A5}"/>
    <cellStyle name="Currency 5 2 2 2 3 5 2 3" xfId="12655" xr:uid="{575DD141-9B36-4343-8A2D-28D6538E5767}"/>
    <cellStyle name="Currency 5 2 2 2 3 5 3" xfId="6299" xr:uid="{00000000-0005-0000-0000-0000AB0B0000}"/>
    <cellStyle name="Currency 5 2 2 2 3 5 3 2" xfId="14728" xr:uid="{56192E75-CD8D-435B-A812-C6A21B1C0477}"/>
    <cellStyle name="Currency 5 2 2 2 3 5 4" xfId="10510" xr:uid="{EA4ECFFC-C861-4811-956A-D94C0D075B45}"/>
    <cellStyle name="Currency 5 2 2 2 3 6" xfId="2426" xr:uid="{00000000-0005-0000-0000-0000AC0B0000}"/>
    <cellStyle name="Currency 5 2 2 2 3 6 2" xfId="6712" xr:uid="{00000000-0005-0000-0000-0000AD0B0000}"/>
    <cellStyle name="Currency 5 2 2 2 3 6 2 2" xfId="15141" xr:uid="{9134AA4E-E7C6-49DB-802D-2D2BAE551C6D}"/>
    <cellStyle name="Currency 5 2 2 2 3 6 3" xfId="10923" xr:uid="{F36C4DC5-2F26-4FDC-9204-0E848DB3AA13}"/>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2 2" xfId="15458" xr:uid="{FCCA70AD-1398-452A-8909-54A3C20D7C43}"/>
    <cellStyle name="Currency 5 2 2 2 3 8 3" xfId="11240" xr:uid="{65468B67-C0B5-40B7-96C6-FAB7BDB007DD}"/>
    <cellStyle name="Currency 5 2 2 2 3 9" xfId="4646" xr:uid="{00000000-0005-0000-0000-0000B10B0000}"/>
    <cellStyle name="Currency 5 2 2 2 3 9 2" xfId="13075" xr:uid="{1CF5A653-FFE3-419F-9B73-DF47AA1B2A69}"/>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2 2" xfId="15631" xr:uid="{0488DDEC-08C3-4B00-89DD-0B23BB4947D9}"/>
    <cellStyle name="Currency 5 2 2 2 4 2 3" xfId="11413" xr:uid="{A27D21F0-33CB-4488-942F-203A91846D80}"/>
    <cellStyle name="Currency 5 2 2 2 4 3" xfId="5057" xr:uid="{00000000-0005-0000-0000-0000B50B0000}"/>
    <cellStyle name="Currency 5 2 2 2 4 3 2" xfId="13486" xr:uid="{BD38D94C-4ABF-420D-854C-F42C4B2CB95C}"/>
    <cellStyle name="Currency 5 2 2 2 4 4" xfId="9268" xr:uid="{011B1C04-C701-4E23-8788-8DADD609A1CA}"/>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2 2" xfId="16044" xr:uid="{819CB432-22E5-4D28-932F-018CF9D9D465}"/>
    <cellStyle name="Currency 5 2 2 2 5 2 3" xfId="11826" xr:uid="{2384866B-45B6-40E8-9874-5EC13DBAA4E4}"/>
    <cellStyle name="Currency 5 2 2 2 5 3" xfId="5470" xr:uid="{00000000-0005-0000-0000-0000B90B0000}"/>
    <cellStyle name="Currency 5 2 2 2 5 3 2" xfId="13899" xr:uid="{5AC5BF66-EB81-4649-9789-80D96E98B1B8}"/>
    <cellStyle name="Currency 5 2 2 2 5 4" xfId="9681" xr:uid="{D38CD863-819E-4C06-96F2-8B3D8B207D9E}"/>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2 2" xfId="16457" xr:uid="{DEC4904C-9352-4CB5-884A-EBC38D819C38}"/>
    <cellStyle name="Currency 5 2 2 2 6 2 3" xfId="12239" xr:uid="{E75CC2AA-D304-4638-B1E6-103F4CF19923}"/>
    <cellStyle name="Currency 5 2 2 2 6 3" xfId="5883" xr:uid="{00000000-0005-0000-0000-0000BD0B0000}"/>
    <cellStyle name="Currency 5 2 2 2 6 3 2" xfId="14312" xr:uid="{83528574-B6BF-44D4-8772-40BF9DB7E52B}"/>
    <cellStyle name="Currency 5 2 2 2 6 4" xfId="10094" xr:uid="{3A62DCF9-0D14-4E05-B5C1-3C51ADFB4615}"/>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2 2" xfId="16870" xr:uid="{56C743A7-AE07-4893-A8C7-98C760EBEB01}"/>
    <cellStyle name="Currency 5 2 2 2 7 2 3" xfId="12652" xr:uid="{341CD22B-E00F-4B6F-9EE0-CCE85EC6AF18}"/>
    <cellStyle name="Currency 5 2 2 2 7 3" xfId="6296" xr:uid="{00000000-0005-0000-0000-0000C10B0000}"/>
    <cellStyle name="Currency 5 2 2 2 7 3 2" xfId="14725" xr:uid="{629D8983-CC26-4B3D-84C5-2CFEE6078F81}"/>
    <cellStyle name="Currency 5 2 2 2 7 4" xfId="10507" xr:uid="{6503DBB4-CA34-4951-BE01-1E869948C319}"/>
    <cellStyle name="Currency 5 2 2 2 8" xfId="2423" xr:uid="{00000000-0005-0000-0000-0000C20B0000}"/>
    <cellStyle name="Currency 5 2 2 2 8 2" xfId="6709" xr:uid="{00000000-0005-0000-0000-0000C30B0000}"/>
    <cellStyle name="Currency 5 2 2 2 8 2 2" xfId="15138" xr:uid="{548BFB8E-2F0B-42B3-A2EA-9A195CC4AB6A}"/>
    <cellStyle name="Currency 5 2 2 2 8 3" xfId="10920" xr:uid="{4FB1F3B8-9AD1-47B7-8EFF-8D713501C00C}"/>
    <cellStyle name="Currency 5 2 2 2 9" xfId="2720" xr:uid="{00000000-0005-0000-0000-0000C40B0000}"/>
    <cellStyle name="Currency 5 2 2 3" xfId="200" xr:uid="{00000000-0005-0000-0000-0000C50B0000}"/>
    <cellStyle name="Currency 5 2 2 3 10" xfId="4647" xr:uid="{00000000-0005-0000-0000-0000C60B0000}"/>
    <cellStyle name="Currency 5 2 2 3 10 2" xfId="13076" xr:uid="{ED965081-B201-4775-AE74-A5A9613AB8AF}"/>
    <cellStyle name="Currency 5 2 2 3 11" xfId="8858" xr:uid="{0A5E4147-D72E-4B3E-BC54-C2F268CBFC43}"/>
    <cellStyle name="Currency 5 2 2 3 2" xfId="201" xr:uid="{00000000-0005-0000-0000-0000C70B0000}"/>
    <cellStyle name="Currency 5 2 2 3 2 10" xfId="8859" xr:uid="{842C836C-3484-4B57-93D1-00FB24015786}"/>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2 2" xfId="15636" xr:uid="{785DAE6D-E8F7-4E93-A134-47D2BDD2D6FB}"/>
    <cellStyle name="Currency 5 2 2 3 2 2 2 3" xfId="11418" xr:uid="{BCC21C56-C22D-4027-A4ED-12F89BD0CFC5}"/>
    <cellStyle name="Currency 5 2 2 3 2 2 3" xfId="5062" xr:uid="{00000000-0005-0000-0000-0000CB0B0000}"/>
    <cellStyle name="Currency 5 2 2 3 2 2 3 2" xfId="13491" xr:uid="{FD2731F9-DC4E-4DFA-A957-87D0FF5706A2}"/>
    <cellStyle name="Currency 5 2 2 3 2 2 4" xfId="9273" xr:uid="{F15B4672-9094-48A7-91C0-239FF1F62106}"/>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2 2" xfId="16049" xr:uid="{0DF0265E-E4B8-405A-8928-69AC7781F970}"/>
    <cellStyle name="Currency 5 2 2 3 2 3 2 3" xfId="11831" xr:uid="{91CAE637-62EE-4713-A2BF-AB706452FB70}"/>
    <cellStyle name="Currency 5 2 2 3 2 3 3" xfId="5475" xr:uid="{00000000-0005-0000-0000-0000CF0B0000}"/>
    <cellStyle name="Currency 5 2 2 3 2 3 3 2" xfId="13904" xr:uid="{EF31C26A-4C2B-44F8-8047-64269FBCF714}"/>
    <cellStyle name="Currency 5 2 2 3 2 3 4" xfId="9686" xr:uid="{E6231314-FB0E-4ADF-83AD-07C47B070FAD}"/>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2 2" xfId="16462" xr:uid="{8197812A-0FE0-472C-8FB9-17461BEB9942}"/>
    <cellStyle name="Currency 5 2 2 3 2 4 2 3" xfId="12244" xr:uid="{045C1E64-61D2-4981-9029-177C6A8F2382}"/>
    <cellStyle name="Currency 5 2 2 3 2 4 3" xfId="5888" xr:uid="{00000000-0005-0000-0000-0000D30B0000}"/>
    <cellStyle name="Currency 5 2 2 3 2 4 3 2" xfId="14317" xr:uid="{2A40F393-509D-4762-A804-3E50169B083A}"/>
    <cellStyle name="Currency 5 2 2 3 2 4 4" xfId="10099" xr:uid="{7AEBD0D6-1781-428D-BBD0-E0833FFF19CD}"/>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2 2" xfId="16875" xr:uid="{F2176D55-4633-413F-B021-25DAF6B03683}"/>
    <cellStyle name="Currency 5 2 2 3 2 5 2 3" xfId="12657" xr:uid="{2DE4E5B1-542B-4A39-BF40-E4F9CEDBEC0B}"/>
    <cellStyle name="Currency 5 2 2 3 2 5 3" xfId="6301" xr:uid="{00000000-0005-0000-0000-0000D70B0000}"/>
    <cellStyle name="Currency 5 2 2 3 2 5 3 2" xfId="14730" xr:uid="{BE4D2701-A805-4597-88E3-C813D374104F}"/>
    <cellStyle name="Currency 5 2 2 3 2 5 4" xfId="10512" xr:uid="{F9FBABBD-A75D-4099-9E73-9774EA8B1365}"/>
    <cellStyle name="Currency 5 2 2 3 2 6" xfId="2428" xr:uid="{00000000-0005-0000-0000-0000D80B0000}"/>
    <cellStyle name="Currency 5 2 2 3 2 6 2" xfId="6714" xr:uid="{00000000-0005-0000-0000-0000D90B0000}"/>
    <cellStyle name="Currency 5 2 2 3 2 6 2 2" xfId="15143" xr:uid="{4BDE337C-7938-4B7E-81E1-4B846D1BDC44}"/>
    <cellStyle name="Currency 5 2 2 3 2 6 3" xfId="10925" xr:uid="{B00626C5-65B4-437C-9D6A-52AFD7CB839D}"/>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2 2" xfId="15460" xr:uid="{D2EB4338-5429-4C12-88AA-FB05C7277966}"/>
    <cellStyle name="Currency 5 2 2 3 2 8 3" xfId="11242" xr:uid="{28D6618F-0A0D-4C60-AB1A-D0063E3D4649}"/>
    <cellStyle name="Currency 5 2 2 3 2 9" xfId="4648" xr:uid="{00000000-0005-0000-0000-0000DD0B0000}"/>
    <cellStyle name="Currency 5 2 2 3 2 9 2" xfId="13077" xr:uid="{C89657CE-C917-4918-8A56-99343CB35C0B}"/>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2 2" xfId="15635" xr:uid="{E999B87C-0513-4FFF-B9CD-9678D14E8091}"/>
    <cellStyle name="Currency 5 2 2 3 3 2 3" xfId="11417" xr:uid="{043F47E3-22E0-40AE-9A0E-9A70CAB7167B}"/>
    <cellStyle name="Currency 5 2 2 3 3 3" xfId="5061" xr:uid="{00000000-0005-0000-0000-0000E10B0000}"/>
    <cellStyle name="Currency 5 2 2 3 3 3 2" xfId="13490" xr:uid="{81FABC7A-400D-4496-8524-F4D595E712AB}"/>
    <cellStyle name="Currency 5 2 2 3 3 4" xfId="9272" xr:uid="{82A103F2-BB3E-4BF5-9003-5C682234AC7F}"/>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2 2" xfId="16048" xr:uid="{1924CEA4-7CBC-49ED-BD61-37C34EC390A9}"/>
    <cellStyle name="Currency 5 2 2 3 4 2 3" xfId="11830" xr:uid="{35D5E100-52AA-4AD5-B134-368345202E76}"/>
    <cellStyle name="Currency 5 2 2 3 4 3" xfId="5474" xr:uid="{00000000-0005-0000-0000-0000E50B0000}"/>
    <cellStyle name="Currency 5 2 2 3 4 3 2" xfId="13903" xr:uid="{EE62E232-A5F8-4B11-86EB-76E65EC14CB7}"/>
    <cellStyle name="Currency 5 2 2 3 4 4" xfId="9685" xr:uid="{22403C46-DD2E-4653-BB28-4E6381C86531}"/>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2 2" xfId="16461" xr:uid="{FD676C00-83FB-4D27-8AC3-564ADA6372B7}"/>
    <cellStyle name="Currency 5 2 2 3 5 2 3" xfId="12243" xr:uid="{2C44A816-2FD2-4C57-8846-F3202EAC4988}"/>
    <cellStyle name="Currency 5 2 2 3 5 3" xfId="5887" xr:uid="{00000000-0005-0000-0000-0000E90B0000}"/>
    <cellStyle name="Currency 5 2 2 3 5 3 2" xfId="14316" xr:uid="{35C09163-2384-4058-8CF4-0EE0E2AF4802}"/>
    <cellStyle name="Currency 5 2 2 3 5 4" xfId="10098" xr:uid="{DD774212-083D-4B4B-A361-8C816E620F8D}"/>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2 2" xfId="16874" xr:uid="{99C6D9BE-6CC7-491A-8A8F-3CCFC0400FB6}"/>
    <cellStyle name="Currency 5 2 2 3 6 2 3" xfId="12656" xr:uid="{1DB6CC14-BA27-42AE-9D75-4E025BFD6250}"/>
    <cellStyle name="Currency 5 2 2 3 6 3" xfId="6300" xr:uid="{00000000-0005-0000-0000-0000ED0B0000}"/>
    <cellStyle name="Currency 5 2 2 3 6 3 2" xfId="14729" xr:uid="{FC0C36C3-332B-4A96-8F73-1531BC61D56D}"/>
    <cellStyle name="Currency 5 2 2 3 6 4" xfId="10511" xr:uid="{E78DD4B5-1C79-4EE4-8D53-8E3DC92A5710}"/>
    <cellStyle name="Currency 5 2 2 3 7" xfId="2427" xr:uid="{00000000-0005-0000-0000-0000EE0B0000}"/>
    <cellStyle name="Currency 5 2 2 3 7 2" xfId="6713" xr:uid="{00000000-0005-0000-0000-0000EF0B0000}"/>
    <cellStyle name="Currency 5 2 2 3 7 2 2" xfId="15142" xr:uid="{865A28B5-4CFE-4A00-B62E-970663CF547D}"/>
    <cellStyle name="Currency 5 2 2 3 7 3" xfId="10924" xr:uid="{05F8B1A2-B7ED-45D9-912C-12EA0ECB331A}"/>
    <cellStyle name="Currency 5 2 2 3 8" xfId="2724" xr:uid="{00000000-0005-0000-0000-0000F00B0000}"/>
    <cellStyle name="Currency 5 2 2 3 9" xfId="2805" xr:uid="{00000000-0005-0000-0000-0000F10B0000}"/>
    <cellStyle name="Currency 5 2 2 3 9 2" xfId="7030" xr:uid="{00000000-0005-0000-0000-0000F20B0000}"/>
    <cellStyle name="Currency 5 2 2 3 9 2 2" xfId="15459" xr:uid="{B3777430-F6F8-4D62-912B-965E7D33BD4E}"/>
    <cellStyle name="Currency 5 2 2 3 9 3" xfId="11241" xr:uid="{A673DD97-2C00-408D-8AC7-DCE6F4B72B21}"/>
    <cellStyle name="Currency 5 2 2 4" xfId="202" xr:uid="{00000000-0005-0000-0000-0000F30B0000}"/>
    <cellStyle name="Currency 5 2 2 4 10" xfId="8860" xr:uid="{96373ADF-5F42-4616-9BB4-1EB718E2268F}"/>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2 2" xfId="15637" xr:uid="{E39556D9-4100-48F0-BE79-AB8C87649095}"/>
    <cellStyle name="Currency 5 2 2 4 2 2 3" xfId="11419" xr:uid="{B212DBC3-FD54-4582-B3C3-40C51B0A19FC}"/>
    <cellStyle name="Currency 5 2 2 4 2 3" xfId="5063" xr:uid="{00000000-0005-0000-0000-0000F70B0000}"/>
    <cellStyle name="Currency 5 2 2 4 2 3 2" xfId="13492" xr:uid="{3A36A796-60BB-4C0F-8693-57E3AA12A099}"/>
    <cellStyle name="Currency 5 2 2 4 2 4" xfId="9274" xr:uid="{F3C44055-BAD5-42F4-88F0-84086C91E369}"/>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2 2" xfId="16050" xr:uid="{3FB5E01F-4D1D-4585-830F-1D808F0591F1}"/>
    <cellStyle name="Currency 5 2 2 4 3 2 3" xfId="11832" xr:uid="{828C0989-889A-4042-9FC8-D5C7ADD82FF7}"/>
    <cellStyle name="Currency 5 2 2 4 3 3" xfId="5476" xr:uid="{00000000-0005-0000-0000-0000FB0B0000}"/>
    <cellStyle name="Currency 5 2 2 4 3 3 2" xfId="13905" xr:uid="{68879876-9447-4B7C-A968-F0611271520D}"/>
    <cellStyle name="Currency 5 2 2 4 3 4" xfId="9687" xr:uid="{26678440-9473-4F8B-BD0D-D36B4EA2A7DE}"/>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2 2" xfId="16463" xr:uid="{CAB3C7CE-F5EC-49A0-9E2A-E4A6C55312C5}"/>
    <cellStyle name="Currency 5 2 2 4 4 2 3" xfId="12245" xr:uid="{0D803425-BF14-41B4-ACBB-5C5E1D7BD576}"/>
    <cellStyle name="Currency 5 2 2 4 4 3" xfId="5889" xr:uid="{00000000-0005-0000-0000-0000FF0B0000}"/>
    <cellStyle name="Currency 5 2 2 4 4 3 2" xfId="14318" xr:uid="{8BA35723-9935-49DC-A34F-F1533ED1D839}"/>
    <cellStyle name="Currency 5 2 2 4 4 4" xfId="10100" xr:uid="{23F60E60-8BFC-4018-8DD1-3C6B42ADDFCE}"/>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2 2" xfId="16876" xr:uid="{7FBED1EC-E953-431B-A831-7F6ADE00C5F4}"/>
    <cellStyle name="Currency 5 2 2 4 5 2 3" xfId="12658" xr:uid="{78FE4FF2-4BA6-4475-B8B0-B5EEA1DE1A82}"/>
    <cellStyle name="Currency 5 2 2 4 5 3" xfId="6302" xr:uid="{00000000-0005-0000-0000-0000030C0000}"/>
    <cellStyle name="Currency 5 2 2 4 5 3 2" xfId="14731" xr:uid="{85A7CFE3-7AB0-4B41-A245-A9545158B133}"/>
    <cellStyle name="Currency 5 2 2 4 5 4" xfId="10513" xr:uid="{8DF3935E-ABF1-4B29-B59C-437998BCA99A}"/>
    <cellStyle name="Currency 5 2 2 4 6" xfId="2429" xr:uid="{00000000-0005-0000-0000-0000040C0000}"/>
    <cellStyle name="Currency 5 2 2 4 6 2" xfId="6715" xr:uid="{00000000-0005-0000-0000-0000050C0000}"/>
    <cellStyle name="Currency 5 2 2 4 6 2 2" xfId="15144" xr:uid="{3294BF69-F042-4F72-AC69-58C537D97580}"/>
    <cellStyle name="Currency 5 2 2 4 6 3" xfId="10926" xr:uid="{188E3301-A77F-4CEA-9F55-43881934F66B}"/>
    <cellStyle name="Currency 5 2 2 4 7" xfId="2726" xr:uid="{00000000-0005-0000-0000-0000060C0000}"/>
    <cellStyle name="Currency 5 2 2 4 8" xfId="2807" xr:uid="{00000000-0005-0000-0000-0000070C0000}"/>
    <cellStyle name="Currency 5 2 2 4 8 2" xfId="7032" xr:uid="{00000000-0005-0000-0000-0000080C0000}"/>
    <cellStyle name="Currency 5 2 2 4 8 2 2" xfId="15461" xr:uid="{302FDAF3-2A8C-448A-8A5D-07C02B6A60FD}"/>
    <cellStyle name="Currency 5 2 2 4 8 3" xfId="11243" xr:uid="{43B3DC35-4563-4B87-A8F3-C1D3CDA8B30E}"/>
    <cellStyle name="Currency 5 2 2 4 9" xfId="4649" xr:uid="{00000000-0005-0000-0000-0000090C0000}"/>
    <cellStyle name="Currency 5 2 2 4 9 2" xfId="13078" xr:uid="{00F7C31A-F237-4B46-B2BF-9B0599CCA90C}"/>
    <cellStyle name="Currency 5 2 2 5" xfId="203" xr:uid="{00000000-0005-0000-0000-00000A0C0000}"/>
    <cellStyle name="Currency 5 2 2 5 10" xfId="8861" xr:uid="{9EF5109D-F0F4-4DE4-A661-E91A059348F1}"/>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2 2" xfId="15638" xr:uid="{AFB9A142-666B-4F01-B624-7F474C16B70B}"/>
    <cellStyle name="Currency 5 2 2 5 2 2 3" xfId="11420" xr:uid="{6150654F-FB22-4D3C-9E1D-863C5507EB06}"/>
    <cellStyle name="Currency 5 2 2 5 2 3" xfId="5064" xr:uid="{00000000-0005-0000-0000-00000E0C0000}"/>
    <cellStyle name="Currency 5 2 2 5 2 3 2" xfId="13493" xr:uid="{B008AF9D-D322-4198-B8CB-04F81042DDCA}"/>
    <cellStyle name="Currency 5 2 2 5 2 4" xfId="9275" xr:uid="{B3966F9D-21EC-4035-9902-07BDE5600C82}"/>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2 2" xfId="16051" xr:uid="{407C323E-44B4-43C8-AC1B-D295073D2CC5}"/>
    <cellStyle name="Currency 5 2 2 5 3 2 3" xfId="11833" xr:uid="{0C6DB824-FFDD-4E4C-9036-7B60569785CD}"/>
    <cellStyle name="Currency 5 2 2 5 3 3" xfId="5477" xr:uid="{00000000-0005-0000-0000-0000120C0000}"/>
    <cellStyle name="Currency 5 2 2 5 3 3 2" xfId="13906" xr:uid="{109D3DC7-5BC4-492C-A096-09C489DBCC8D}"/>
    <cellStyle name="Currency 5 2 2 5 3 4" xfId="9688" xr:uid="{162EF26B-0103-40B0-BE0B-CDEEDB77DCBE}"/>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2 2" xfId="16464" xr:uid="{9E3BEBD2-D7C5-4FB5-8CD3-EFFE904717ED}"/>
    <cellStyle name="Currency 5 2 2 5 4 2 3" xfId="12246" xr:uid="{4EEBA20B-CC83-44C5-A51A-8137C21314A5}"/>
    <cellStyle name="Currency 5 2 2 5 4 3" xfId="5890" xr:uid="{00000000-0005-0000-0000-0000160C0000}"/>
    <cellStyle name="Currency 5 2 2 5 4 3 2" xfId="14319" xr:uid="{BFB73BE9-893F-41ED-BE9E-6370C7ECEC57}"/>
    <cellStyle name="Currency 5 2 2 5 4 4" xfId="10101" xr:uid="{8F1FCEF7-0CCF-4B4C-BDE3-7A8108F2525C}"/>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2 2" xfId="16877" xr:uid="{CD5393D2-2A5E-4449-9033-CEA16D9E77BE}"/>
    <cellStyle name="Currency 5 2 2 5 5 2 3" xfId="12659" xr:uid="{77ACC22F-6D8E-456F-B8E2-34BF4ACB5FED}"/>
    <cellStyle name="Currency 5 2 2 5 5 3" xfId="6303" xr:uid="{00000000-0005-0000-0000-00001A0C0000}"/>
    <cellStyle name="Currency 5 2 2 5 5 3 2" xfId="14732" xr:uid="{86A80417-E2A2-484C-A20D-AEE0BD4EA6D5}"/>
    <cellStyle name="Currency 5 2 2 5 5 4" xfId="10514" xr:uid="{6F8E32E9-CC80-4665-9BF8-4E2F4D2B84C1}"/>
    <cellStyle name="Currency 5 2 2 5 6" xfId="2430" xr:uid="{00000000-0005-0000-0000-00001B0C0000}"/>
    <cellStyle name="Currency 5 2 2 5 6 2" xfId="6716" xr:uid="{00000000-0005-0000-0000-00001C0C0000}"/>
    <cellStyle name="Currency 5 2 2 5 6 2 2" xfId="15145" xr:uid="{CA921351-B7CE-4707-9105-1F96726E2DE9}"/>
    <cellStyle name="Currency 5 2 2 5 6 3" xfId="10927" xr:uid="{37178F2D-FA27-4C09-86E6-F65C1EEEB62E}"/>
    <cellStyle name="Currency 5 2 2 5 7" xfId="2727" xr:uid="{00000000-0005-0000-0000-00001D0C0000}"/>
    <cellStyle name="Currency 5 2 2 5 8" xfId="2808" xr:uid="{00000000-0005-0000-0000-00001E0C0000}"/>
    <cellStyle name="Currency 5 2 2 5 8 2" xfId="7033" xr:uid="{00000000-0005-0000-0000-00001F0C0000}"/>
    <cellStyle name="Currency 5 2 2 5 8 2 2" xfId="15462" xr:uid="{3BDD50A5-3576-4BDA-B582-44444DFBD3CF}"/>
    <cellStyle name="Currency 5 2 2 5 8 3" xfId="11244" xr:uid="{11465166-7F55-4551-8F94-9F3157CEF570}"/>
    <cellStyle name="Currency 5 2 2 5 9" xfId="4650" xr:uid="{00000000-0005-0000-0000-0000200C0000}"/>
    <cellStyle name="Currency 5 2 2 5 9 2" xfId="13079" xr:uid="{09F5F369-B191-4D56-93C6-50BD95061C1E}"/>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0 2" xfId="13080" xr:uid="{05CE2A4A-19C3-4191-8066-20FC9B3DE427}"/>
    <cellStyle name="Currency 5 2 4 11" xfId="8862" xr:uid="{FABF0FBC-195B-4566-BBA6-E2F4F299C522}"/>
    <cellStyle name="Currency 5 2 4 2" xfId="206" xr:uid="{00000000-0005-0000-0000-0000250C0000}"/>
    <cellStyle name="Currency 5 2 4 2 10" xfId="8863" xr:uid="{F2385DA5-9F50-41AB-827E-654C4C57294E}"/>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2 2" xfId="15640" xr:uid="{5747F0E5-31B3-4814-8423-EF455CE374FF}"/>
    <cellStyle name="Currency 5 2 4 2 2 2 3" xfId="11422" xr:uid="{806790E1-FF0D-44E4-A7C1-30668A10AB26}"/>
    <cellStyle name="Currency 5 2 4 2 2 3" xfId="5066" xr:uid="{00000000-0005-0000-0000-0000290C0000}"/>
    <cellStyle name="Currency 5 2 4 2 2 3 2" xfId="13495" xr:uid="{EE767507-0A68-4980-A63D-552E76E20A5B}"/>
    <cellStyle name="Currency 5 2 4 2 2 4" xfId="9277" xr:uid="{43E83ADB-C73C-4D4A-96EF-3B7D6934A964}"/>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2 2" xfId="16053" xr:uid="{795E7619-8A4D-4F63-AB39-03F305C9E757}"/>
    <cellStyle name="Currency 5 2 4 2 3 2 3" xfId="11835" xr:uid="{25D499CF-3152-4E37-8885-1DF48486F7D8}"/>
    <cellStyle name="Currency 5 2 4 2 3 3" xfId="5479" xr:uid="{00000000-0005-0000-0000-00002D0C0000}"/>
    <cellStyle name="Currency 5 2 4 2 3 3 2" xfId="13908" xr:uid="{9BAB5388-803C-414C-8DD1-6EE3BA36D6FF}"/>
    <cellStyle name="Currency 5 2 4 2 3 4" xfId="9690" xr:uid="{FCCF375E-5547-4B20-AA28-1819942352AB}"/>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2 2" xfId="16466" xr:uid="{40C4B114-F253-4FCA-952C-AA62A9CC8EC9}"/>
    <cellStyle name="Currency 5 2 4 2 4 2 3" xfId="12248" xr:uid="{4AD00FC5-5F03-421B-A56B-51990D3195F6}"/>
    <cellStyle name="Currency 5 2 4 2 4 3" xfId="5892" xr:uid="{00000000-0005-0000-0000-0000310C0000}"/>
    <cellStyle name="Currency 5 2 4 2 4 3 2" xfId="14321" xr:uid="{C04C2208-C982-45B4-8722-E4F1B3F60664}"/>
    <cellStyle name="Currency 5 2 4 2 4 4" xfId="10103" xr:uid="{93FC6380-988F-42FB-800F-088575E43044}"/>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2 2" xfId="16879" xr:uid="{3D7426E2-3E7F-43E7-AA58-A228EA38FEF6}"/>
    <cellStyle name="Currency 5 2 4 2 5 2 3" xfId="12661" xr:uid="{C47E1A36-481B-4F55-A7B1-DD1A8E754704}"/>
    <cellStyle name="Currency 5 2 4 2 5 3" xfId="6305" xr:uid="{00000000-0005-0000-0000-0000350C0000}"/>
    <cellStyle name="Currency 5 2 4 2 5 3 2" xfId="14734" xr:uid="{9E79F3E1-A0B8-4272-9674-1B55CB849CC0}"/>
    <cellStyle name="Currency 5 2 4 2 5 4" xfId="10516" xr:uid="{585275DB-296A-4249-A396-32297EEC6FE9}"/>
    <cellStyle name="Currency 5 2 4 2 6" xfId="2432" xr:uid="{00000000-0005-0000-0000-0000360C0000}"/>
    <cellStyle name="Currency 5 2 4 2 6 2" xfId="6718" xr:uid="{00000000-0005-0000-0000-0000370C0000}"/>
    <cellStyle name="Currency 5 2 4 2 6 2 2" xfId="15147" xr:uid="{7D63EE5C-8942-4906-87E3-4BDCCE301B2A}"/>
    <cellStyle name="Currency 5 2 4 2 6 3" xfId="10929" xr:uid="{8A6FD784-C044-4408-B971-3D9034288F3A}"/>
    <cellStyle name="Currency 5 2 4 2 7" xfId="2729" xr:uid="{00000000-0005-0000-0000-0000380C0000}"/>
    <cellStyle name="Currency 5 2 4 2 8" xfId="2810" xr:uid="{00000000-0005-0000-0000-0000390C0000}"/>
    <cellStyle name="Currency 5 2 4 2 8 2" xfId="7035" xr:uid="{00000000-0005-0000-0000-00003A0C0000}"/>
    <cellStyle name="Currency 5 2 4 2 8 2 2" xfId="15464" xr:uid="{26760C27-9F54-433D-935A-C914FA9DD877}"/>
    <cellStyle name="Currency 5 2 4 2 8 3" xfId="11246" xr:uid="{E1CED95C-9B9E-44AF-B884-66BD73750921}"/>
    <cellStyle name="Currency 5 2 4 2 9" xfId="4652" xr:uid="{00000000-0005-0000-0000-00003B0C0000}"/>
    <cellStyle name="Currency 5 2 4 2 9 2" xfId="13081" xr:uid="{0DF2C969-972A-45FD-8623-93DF27778443}"/>
    <cellStyle name="Currency 5 2 4 3" xfId="733" xr:uid="{00000000-0005-0000-0000-00003C0C0000}"/>
    <cellStyle name="Currency 5 2 4 3 2" xfId="2986" xr:uid="{00000000-0005-0000-0000-00003D0C0000}"/>
    <cellStyle name="Currency 5 2 4 3 2 2" xfId="7210" xr:uid="{00000000-0005-0000-0000-00003E0C0000}"/>
    <cellStyle name="Currency 5 2 4 3 2 2 2" xfId="15639" xr:uid="{B27DFF0B-8E64-4E19-BAED-B813F251D85C}"/>
    <cellStyle name="Currency 5 2 4 3 2 3" xfId="11421" xr:uid="{EB6C7029-436A-4F0F-AE58-394BB5B852BC}"/>
    <cellStyle name="Currency 5 2 4 3 3" xfId="5065" xr:uid="{00000000-0005-0000-0000-00003F0C0000}"/>
    <cellStyle name="Currency 5 2 4 3 3 2" xfId="13494" xr:uid="{7B6249E3-F0B3-4E75-8D4A-A0A2616ECC83}"/>
    <cellStyle name="Currency 5 2 4 3 4" xfId="9276" xr:uid="{FC2615C5-B009-4D89-84D2-FDE2A6A32C29}"/>
    <cellStyle name="Currency 5 2 4 4" xfId="1168" xr:uid="{00000000-0005-0000-0000-0000400C0000}"/>
    <cellStyle name="Currency 5 2 4 4 2" xfId="3399" xr:uid="{00000000-0005-0000-0000-0000410C0000}"/>
    <cellStyle name="Currency 5 2 4 4 2 2" xfId="7623" xr:uid="{00000000-0005-0000-0000-0000420C0000}"/>
    <cellStyle name="Currency 5 2 4 4 2 2 2" xfId="16052" xr:uid="{8913D18D-DCAA-428C-BA59-662ABF5E1FB0}"/>
    <cellStyle name="Currency 5 2 4 4 2 3" xfId="11834" xr:uid="{D7049684-40CA-4EBF-ABCC-C67998BA2A96}"/>
    <cellStyle name="Currency 5 2 4 4 3" xfId="5478" xr:uid="{00000000-0005-0000-0000-0000430C0000}"/>
    <cellStyle name="Currency 5 2 4 4 3 2" xfId="13907" xr:uid="{9D16F0A0-7F00-4C36-8DE9-5B30281CCE6E}"/>
    <cellStyle name="Currency 5 2 4 4 4" xfId="9689" xr:uid="{979E13BC-D3EF-49F2-8FD8-5F299AA574FF}"/>
    <cellStyle name="Currency 5 2 4 5" xfId="1582" xr:uid="{00000000-0005-0000-0000-0000440C0000}"/>
    <cellStyle name="Currency 5 2 4 5 2" xfId="3812" xr:uid="{00000000-0005-0000-0000-0000450C0000}"/>
    <cellStyle name="Currency 5 2 4 5 2 2" xfId="8036" xr:uid="{00000000-0005-0000-0000-0000460C0000}"/>
    <cellStyle name="Currency 5 2 4 5 2 2 2" xfId="16465" xr:uid="{F5D83B9D-A355-4AD0-915E-98D153303B61}"/>
    <cellStyle name="Currency 5 2 4 5 2 3" xfId="12247" xr:uid="{1A2B83C9-9DB2-4E1D-8F26-768CC8C6B269}"/>
    <cellStyle name="Currency 5 2 4 5 3" xfId="5891" xr:uid="{00000000-0005-0000-0000-0000470C0000}"/>
    <cellStyle name="Currency 5 2 4 5 3 2" xfId="14320" xr:uid="{3EDE957A-30EB-455F-8B74-C0096CCEE626}"/>
    <cellStyle name="Currency 5 2 4 5 4" xfId="10102" xr:uid="{94A8380D-9641-462D-B9F5-8729081931D3}"/>
    <cellStyle name="Currency 5 2 4 6" xfId="1996" xr:uid="{00000000-0005-0000-0000-0000480C0000}"/>
    <cellStyle name="Currency 5 2 4 6 2" xfId="4225" xr:uid="{00000000-0005-0000-0000-0000490C0000}"/>
    <cellStyle name="Currency 5 2 4 6 2 2" xfId="8449" xr:uid="{00000000-0005-0000-0000-00004A0C0000}"/>
    <cellStyle name="Currency 5 2 4 6 2 2 2" xfId="16878" xr:uid="{A6879FE5-46D8-45AE-B264-18F5CA3C08AA}"/>
    <cellStyle name="Currency 5 2 4 6 2 3" xfId="12660" xr:uid="{5FD51B47-080E-4561-A818-FD76EA60D91C}"/>
    <cellStyle name="Currency 5 2 4 6 3" xfId="6304" xr:uid="{00000000-0005-0000-0000-00004B0C0000}"/>
    <cellStyle name="Currency 5 2 4 6 3 2" xfId="14733" xr:uid="{41BBABAA-9E2D-4CD8-8F52-397B10B7002E}"/>
    <cellStyle name="Currency 5 2 4 6 4" xfId="10515" xr:uid="{D0352AF9-91A4-4876-B950-72BE2C652E2D}"/>
    <cellStyle name="Currency 5 2 4 7" xfId="2431" xr:uid="{00000000-0005-0000-0000-00004C0C0000}"/>
    <cellStyle name="Currency 5 2 4 7 2" xfId="6717" xr:uid="{00000000-0005-0000-0000-00004D0C0000}"/>
    <cellStyle name="Currency 5 2 4 7 2 2" xfId="15146" xr:uid="{79F40FCE-B4CC-4506-A549-D66759AB506E}"/>
    <cellStyle name="Currency 5 2 4 7 3" xfId="10928" xr:uid="{83A00144-E690-4BF0-BEBA-69678CAAE793}"/>
    <cellStyle name="Currency 5 2 4 8" xfId="2728" xr:uid="{00000000-0005-0000-0000-00004E0C0000}"/>
    <cellStyle name="Currency 5 2 4 9" xfId="2809" xr:uid="{00000000-0005-0000-0000-00004F0C0000}"/>
    <cellStyle name="Currency 5 2 4 9 2" xfId="7034" xr:uid="{00000000-0005-0000-0000-0000500C0000}"/>
    <cellStyle name="Currency 5 2 4 9 2 2" xfId="15463" xr:uid="{BADDB8B9-FCDA-45A8-8FA3-2EAB31F9B50E}"/>
    <cellStyle name="Currency 5 2 4 9 3" xfId="11245" xr:uid="{455F0D85-6839-4215-A206-32F75B240D39}"/>
    <cellStyle name="Currency 5 2 5" xfId="207" xr:uid="{00000000-0005-0000-0000-0000510C0000}"/>
    <cellStyle name="Currency 5 2 5 10" xfId="8864" xr:uid="{92AC0701-C8ED-4758-A5D4-53ED2A2F3825}"/>
    <cellStyle name="Currency 5 2 5 2" xfId="735" xr:uid="{00000000-0005-0000-0000-0000520C0000}"/>
    <cellStyle name="Currency 5 2 5 2 2" xfId="2988" xr:uid="{00000000-0005-0000-0000-0000530C0000}"/>
    <cellStyle name="Currency 5 2 5 2 2 2" xfId="7212" xr:uid="{00000000-0005-0000-0000-0000540C0000}"/>
    <cellStyle name="Currency 5 2 5 2 2 2 2" xfId="15641" xr:uid="{62FF9A25-68A7-4296-8962-0F233400BB6B}"/>
    <cellStyle name="Currency 5 2 5 2 2 3" xfId="11423" xr:uid="{69ECC042-E587-40C2-A538-A77C17CA7725}"/>
    <cellStyle name="Currency 5 2 5 2 3" xfId="5067" xr:uid="{00000000-0005-0000-0000-0000550C0000}"/>
    <cellStyle name="Currency 5 2 5 2 3 2" xfId="13496" xr:uid="{A3B262EF-2381-4092-BA1F-CF1C7D5DAAFF}"/>
    <cellStyle name="Currency 5 2 5 2 4" xfId="9278" xr:uid="{CC258932-7B0C-4C45-AABC-28C34B5B9FA0}"/>
    <cellStyle name="Currency 5 2 5 3" xfId="1170" xr:uid="{00000000-0005-0000-0000-0000560C0000}"/>
    <cellStyle name="Currency 5 2 5 3 2" xfId="3401" xr:uid="{00000000-0005-0000-0000-0000570C0000}"/>
    <cellStyle name="Currency 5 2 5 3 2 2" xfId="7625" xr:uid="{00000000-0005-0000-0000-0000580C0000}"/>
    <cellStyle name="Currency 5 2 5 3 2 2 2" xfId="16054" xr:uid="{36E81C3F-3D7A-4D64-A6E4-D8521BFC5CB9}"/>
    <cellStyle name="Currency 5 2 5 3 2 3" xfId="11836" xr:uid="{1F68A9A7-DD3D-467F-AA83-04244DC46466}"/>
    <cellStyle name="Currency 5 2 5 3 3" xfId="5480" xr:uid="{00000000-0005-0000-0000-0000590C0000}"/>
    <cellStyle name="Currency 5 2 5 3 3 2" xfId="13909" xr:uid="{5BA90B8E-FB51-4C67-B451-81939197A03C}"/>
    <cellStyle name="Currency 5 2 5 3 4" xfId="9691" xr:uid="{C445D0BD-B8C1-46E1-B9B2-56FE2B7E94F6}"/>
    <cellStyle name="Currency 5 2 5 4" xfId="1584" xr:uid="{00000000-0005-0000-0000-00005A0C0000}"/>
    <cellStyle name="Currency 5 2 5 4 2" xfId="3814" xr:uid="{00000000-0005-0000-0000-00005B0C0000}"/>
    <cellStyle name="Currency 5 2 5 4 2 2" xfId="8038" xr:uid="{00000000-0005-0000-0000-00005C0C0000}"/>
    <cellStyle name="Currency 5 2 5 4 2 2 2" xfId="16467" xr:uid="{6262EE1A-2849-47E3-BECA-D1861F1158F3}"/>
    <cellStyle name="Currency 5 2 5 4 2 3" xfId="12249" xr:uid="{E1BB0841-5A1F-4525-98C4-966B11C6357F}"/>
    <cellStyle name="Currency 5 2 5 4 3" xfId="5893" xr:uid="{00000000-0005-0000-0000-00005D0C0000}"/>
    <cellStyle name="Currency 5 2 5 4 3 2" xfId="14322" xr:uid="{4F66E86C-091B-4A70-8852-643ECFAB3A48}"/>
    <cellStyle name="Currency 5 2 5 4 4" xfId="10104" xr:uid="{EFCF7F67-9FA3-47F8-9C38-FD3EC7948963}"/>
    <cellStyle name="Currency 5 2 5 5" xfId="1998" xr:uid="{00000000-0005-0000-0000-00005E0C0000}"/>
    <cellStyle name="Currency 5 2 5 5 2" xfId="4227" xr:uid="{00000000-0005-0000-0000-00005F0C0000}"/>
    <cellStyle name="Currency 5 2 5 5 2 2" xfId="8451" xr:uid="{00000000-0005-0000-0000-0000600C0000}"/>
    <cellStyle name="Currency 5 2 5 5 2 2 2" xfId="16880" xr:uid="{057DDF65-1350-4A73-9231-C3D7DAE28B6A}"/>
    <cellStyle name="Currency 5 2 5 5 2 3" xfId="12662" xr:uid="{8211FB17-9837-4573-8423-EFAD0BA9DE86}"/>
    <cellStyle name="Currency 5 2 5 5 3" xfId="6306" xr:uid="{00000000-0005-0000-0000-0000610C0000}"/>
    <cellStyle name="Currency 5 2 5 5 3 2" xfId="14735" xr:uid="{263B4D5E-190F-49AC-83F3-23948BEB28A5}"/>
    <cellStyle name="Currency 5 2 5 5 4" xfId="10517" xr:uid="{58E0E39E-9D13-493D-884F-417461233DAF}"/>
    <cellStyle name="Currency 5 2 5 6" xfId="2433" xr:uid="{00000000-0005-0000-0000-0000620C0000}"/>
    <cellStyle name="Currency 5 2 5 6 2" xfId="6719" xr:uid="{00000000-0005-0000-0000-0000630C0000}"/>
    <cellStyle name="Currency 5 2 5 6 2 2" xfId="15148" xr:uid="{7BC2A21A-3F62-4AE1-8BC3-12940CBAD3BD}"/>
    <cellStyle name="Currency 5 2 5 6 3" xfId="10930" xr:uid="{8B50DC6E-700A-42EA-82F5-02ABC642A908}"/>
    <cellStyle name="Currency 5 2 5 7" xfId="2730" xr:uid="{00000000-0005-0000-0000-0000640C0000}"/>
    <cellStyle name="Currency 5 2 5 8" xfId="2811" xr:uid="{00000000-0005-0000-0000-0000650C0000}"/>
    <cellStyle name="Currency 5 2 5 8 2" xfId="7036" xr:uid="{00000000-0005-0000-0000-0000660C0000}"/>
    <cellStyle name="Currency 5 2 5 8 2 2" xfId="15465" xr:uid="{857701B9-EB8D-46DB-AFDE-9499CCAFB3BA}"/>
    <cellStyle name="Currency 5 2 5 8 3" xfId="11247" xr:uid="{58E67FB8-A7C9-4E33-914D-ADEBD544B44F}"/>
    <cellStyle name="Currency 5 2 5 9" xfId="4653" xr:uid="{00000000-0005-0000-0000-0000670C0000}"/>
    <cellStyle name="Currency 5 2 5 9 2" xfId="13082" xr:uid="{AB6ADB87-F578-43D7-8DB6-E890C50CA718}"/>
    <cellStyle name="Currency 5 2 6" xfId="208" xr:uid="{00000000-0005-0000-0000-0000680C0000}"/>
    <cellStyle name="Currency 5 2 6 10" xfId="8865" xr:uid="{CA2B4C3E-3000-4A05-AF1C-045E46808AC9}"/>
    <cellStyle name="Currency 5 2 6 2" xfId="736" xr:uid="{00000000-0005-0000-0000-0000690C0000}"/>
    <cellStyle name="Currency 5 2 6 2 2" xfId="2989" xr:uid="{00000000-0005-0000-0000-00006A0C0000}"/>
    <cellStyle name="Currency 5 2 6 2 2 2" xfId="7213" xr:uid="{00000000-0005-0000-0000-00006B0C0000}"/>
    <cellStyle name="Currency 5 2 6 2 2 2 2" xfId="15642" xr:uid="{23D8FAAA-C0F5-42F9-925F-88AC1BC53472}"/>
    <cellStyle name="Currency 5 2 6 2 2 3" xfId="11424" xr:uid="{142C1B98-F8C8-4064-B4F5-7E413E27778F}"/>
    <cellStyle name="Currency 5 2 6 2 3" xfId="5068" xr:uid="{00000000-0005-0000-0000-00006C0C0000}"/>
    <cellStyle name="Currency 5 2 6 2 3 2" xfId="13497" xr:uid="{8756E50A-D77F-4162-87BB-AB940D2E2ABC}"/>
    <cellStyle name="Currency 5 2 6 2 4" xfId="9279" xr:uid="{4B586C49-4DEB-47FC-8758-AB03B046607F}"/>
    <cellStyle name="Currency 5 2 6 3" xfId="1171" xr:uid="{00000000-0005-0000-0000-00006D0C0000}"/>
    <cellStyle name="Currency 5 2 6 3 2" xfId="3402" xr:uid="{00000000-0005-0000-0000-00006E0C0000}"/>
    <cellStyle name="Currency 5 2 6 3 2 2" xfId="7626" xr:uid="{00000000-0005-0000-0000-00006F0C0000}"/>
    <cellStyle name="Currency 5 2 6 3 2 2 2" xfId="16055" xr:uid="{44944B63-49D1-4C86-B2F6-A7AD91A1373D}"/>
    <cellStyle name="Currency 5 2 6 3 2 3" xfId="11837" xr:uid="{7928F0CD-AEE5-4EF5-B01F-63DAE16F95F8}"/>
    <cellStyle name="Currency 5 2 6 3 3" xfId="5481" xr:uid="{00000000-0005-0000-0000-0000700C0000}"/>
    <cellStyle name="Currency 5 2 6 3 3 2" xfId="13910" xr:uid="{825D7BFE-8EAF-44B4-B9F8-E5F8956B7632}"/>
    <cellStyle name="Currency 5 2 6 3 4" xfId="9692" xr:uid="{C7CBB02C-399F-4C7F-BE37-1AD76395D45C}"/>
    <cellStyle name="Currency 5 2 6 4" xfId="1585" xr:uid="{00000000-0005-0000-0000-0000710C0000}"/>
    <cellStyle name="Currency 5 2 6 4 2" xfId="3815" xr:uid="{00000000-0005-0000-0000-0000720C0000}"/>
    <cellStyle name="Currency 5 2 6 4 2 2" xfId="8039" xr:uid="{00000000-0005-0000-0000-0000730C0000}"/>
    <cellStyle name="Currency 5 2 6 4 2 2 2" xfId="16468" xr:uid="{FEA12E8E-E768-4C86-98CA-85CFA45B57D0}"/>
    <cellStyle name="Currency 5 2 6 4 2 3" xfId="12250" xr:uid="{6A59A88E-7EBE-4711-B95A-51F48773EE8C}"/>
    <cellStyle name="Currency 5 2 6 4 3" xfId="5894" xr:uid="{00000000-0005-0000-0000-0000740C0000}"/>
    <cellStyle name="Currency 5 2 6 4 3 2" xfId="14323" xr:uid="{39400E0E-42B4-4BE0-A821-5B1931B0FCA3}"/>
    <cellStyle name="Currency 5 2 6 4 4" xfId="10105" xr:uid="{00779354-3EBE-4E89-A738-62C30A69308D}"/>
    <cellStyle name="Currency 5 2 6 5" xfId="1999" xr:uid="{00000000-0005-0000-0000-0000750C0000}"/>
    <cellStyle name="Currency 5 2 6 5 2" xfId="4228" xr:uid="{00000000-0005-0000-0000-0000760C0000}"/>
    <cellStyle name="Currency 5 2 6 5 2 2" xfId="8452" xr:uid="{00000000-0005-0000-0000-0000770C0000}"/>
    <cellStyle name="Currency 5 2 6 5 2 2 2" xfId="16881" xr:uid="{C2D1482D-EB54-4F32-B00F-674F9611E735}"/>
    <cellStyle name="Currency 5 2 6 5 2 3" xfId="12663" xr:uid="{8500EBA0-F3B2-4DF6-84F9-A7BCF6F861BB}"/>
    <cellStyle name="Currency 5 2 6 5 3" xfId="6307" xr:uid="{00000000-0005-0000-0000-0000780C0000}"/>
    <cellStyle name="Currency 5 2 6 5 3 2" xfId="14736" xr:uid="{8AF98C89-82FC-461B-96B3-6E64C79D5CB5}"/>
    <cellStyle name="Currency 5 2 6 5 4" xfId="10518" xr:uid="{B5447890-1F51-4C70-82C3-F0065F833BDA}"/>
    <cellStyle name="Currency 5 2 6 6" xfId="2434" xr:uid="{00000000-0005-0000-0000-0000790C0000}"/>
    <cellStyle name="Currency 5 2 6 6 2" xfId="6720" xr:uid="{00000000-0005-0000-0000-00007A0C0000}"/>
    <cellStyle name="Currency 5 2 6 6 2 2" xfId="15149" xr:uid="{8C3FA9FE-16CA-4526-B97E-33DF9CA360A4}"/>
    <cellStyle name="Currency 5 2 6 6 3" xfId="10931" xr:uid="{E22206AF-F157-49FF-B6DF-E383F99A2570}"/>
    <cellStyle name="Currency 5 2 6 7" xfId="2731" xr:uid="{00000000-0005-0000-0000-00007B0C0000}"/>
    <cellStyle name="Currency 5 2 6 8" xfId="2812" xr:uid="{00000000-0005-0000-0000-00007C0C0000}"/>
    <cellStyle name="Currency 5 2 6 8 2" xfId="7037" xr:uid="{00000000-0005-0000-0000-00007D0C0000}"/>
    <cellStyle name="Currency 5 2 6 8 2 2" xfId="15466" xr:uid="{0897A80F-5D72-4514-9143-1B18211F38A0}"/>
    <cellStyle name="Currency 5 2 6 8 3" xfId="11248" xr:uid="{49CDBCCD-7AF7-4792-BC45-20591F08C1B3}"/>
    <cellStyle name="Currency 5 2 6 9" xfId="4654" xr:uid="{00000000-0005-0000-0000-00007E0C0000}"/>
    <cellStyle name="Currency 5 2 6 9 2" xfId="13083" xr:uid="{E150FDA5-CDFA-436A-894C-747BB518890F}"/>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2 2" xfId="15467" xr:uid="{0A4AE4FE-40CB-42A9-A18D-93E32B9221F4}"/>
    <cellStyle name="Currency 5 3 2 10 3" xfId="11249" xr:uid="{0C40BDBF-B69A-4261-B04A-66CD6219D6A2}"/>
    <cellStyle name="Currency 5 3 2 11" xfId="4655" xr:uid="{00000000-0005-0000-0000-0000840C0000}"/>
    <cellStyle name="Currency 5 3 2 11 2" xfId="13084" xr:uid="{A9B43F2B-5F1A-44FB-A69C-1077AE509686}"/>
    <cellStyle name="Currency 5 3 2 12" xfId="8866" xr:uid="{DAEB0027-6192-4A3A-B6F3-3234164C390E}"/>
    <cellStyle name="Currency 5 3 2 2" xfId="211" xr:uid="{00000000-0005-0000-0000-0000850C0000}"/>
    <cellStyle name="Currency 5 3 2 2 10" xfId="4656" xr:uid="{00000000-0005-0000-0000-0000860C0000}"/>
    <cellStyle name="Currency 5 3 2 2 10 2" xfId="13085" xr:uid="{98CE1500-312D-4B4E-9638-3D24AA95927E}"/>
    <cellStyle name="Currency 5 3 2 2 11" xfId="8867" xr:uid="{22030D1F-87B8-4C96-846B-D054034BD916}"/>
    <cellStyle name="Currency 5 3 2 2 2" xfId="212" xr:uid="{00000000-0005-0000-0000-0000870C0000}"/>
    <cellStyle name="Currency 5 3 2 2 2 10" xfId="8868" xr:uid="{F6CA7820-A16D-4E27-AC7F-27ABB1A26DC1}"/>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2 2" xfId="15645" xr:uid="{32D13FAE-155A-4E97-9A8A-E6A4DA1661B7}"/>
    <cellStyle name="Currency 5 3 2 2 2 2 2 3" xfId="11427" xr:uid="{1225206C-6AD7-421C-B304-F776BAC99D33}"/>
    <cellStyle name="Currency 5 3 2 2 2 2 3" xfId="5071" xr:uid="{00000000-0005-0000-0000-00008B0C0000}"/>
    <cellStyle name="Currency 5 3 2 2 2 2 3 2" xfId="13500" xr:uid="{5F6A87F9-2ACE-4896-A257-1E70924FD57A}"/>
    <cellStyle name="Currency 5 3 2 2 2 2 4" xfId="9282" xr:uid="{6DBB9A01-A9FC-4F55-A3EF-2392DF9F6322}"/>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2 2" xfId="16058" xr:uid="{CF894F61-711F-4DD5-8600-A18D03362B3A}"/>
    <cellStyle name="Currency 5 3 2 2 2 3 2 3" xfId="11840" xr:uid="{2416DFB5-2BB9-4774-A556-F95D69A8E638}"/>
    <cellStyle name="Currency 5 3 2 2 2 3 3" xfId="5484" xr:uid="{00000000-0005-0000-0000-00008F0C0000}"/>
    <cellStyle name="Currency 5 3 2 2 2 3 3 2" xfId="13913" xr:uid="{59990416-ADA3-4256-AE55-A3FD8FE72042}"/>
    <cellStyle name="Currency 5 3 2 2 2 3 4" xfId="9695" xr:uid="{F52AD57C-6B2D-4451-BC9C-56B36E33B426}"/>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2 2" xfId="16471" xr:uid="{34597BAF-83DC-431F-92B3-E19E1181BF31}"/>
    <cellStyle name="Currency 5 3 2 2 2 4 2 3" xfId="12253" xr:uid="{58F095C1-C7C5-4C23-B863-C8C30C89AD63}"/>
    <cellStyle name="Currency 5 3 2 2 2 4 3" xfId="5897" xr:uid="{00000000-0005-0000-0000-0000930C0000}"/>
    <cellStyle name="Currency 5 3 2 2 2 4 3 2" xfId="14326" xr:uid="{F76BF984-EA63-42B9-B548-5032B5C92F63}"/>
    <cellStyle name="Currency 5 3 2 2 2 4 4" xfId="10108" xr:uid="{A5BD0904-9714-453C-B004-F5398773CD29}"/>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2 2" xfId="16884" xr:uid="{E652251C-0CDC-4614-AB82-39B8B9074D88}"/>
    <cellStyle name="Currency 5 3 2 2 2 5 2 3" xfId="12666" xr:uid="{93A7F2A5-6CE9-40C6-B25D-C6A474EAD3F5}"/>
    <cellStyle name="Currency 5 3 2 2 2 5 3" xfId="6310" xr:uid="{00000000-0005-0000-0000-0000970C0000}"/>
    <cellStyle name="Currency 5 3 2 2 2 5 3 2" xfId="14739" xr:uid="{C25156CA-0B06-41B8-9186-3F9A0F932FE6}"/>
    <cellStyle name="Currency 5 3 2 2 2 5 4" xfId="10521" xr:uid="{D628C300-859E-434D-BB93-DD37A52309D2}"/>
    <cellStyle name="Currency 5 3 2 2 2 6" xfId="2437" xr:uid="{00000000-0005-0000-0000-0000980C0000}"/>
    <cellStyle name="Currency 5 3 2 2 2 6 2" xfId="6723" xr:uid="{00000000-0005-0000-0000-0000990C0000}"/>
    <cellStyle name="Currency 5 3 2 2 2 6 2 2" xfId="15152" xr:uid="{AB591B9F-BA2C-4A20-BA66-D85D90E0B36B}"/>
    <cellStyle name="Currency 5 3 2 2 2 6 3" xfId="10934" xr:uid="{8DB48AD7-6F9F-45A0-B41F-23670AFF5ED4}"/>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2 2" xfId="15469" xr:uid="{B37C9320-83DB-47FC-80B9-B026555BBC3B}"/>
    <cellStyle name="Currency 5 3 2 2 2 8 3" xfId="11251" xr:uid="{BA2F3CB4-37B4-4DD0-A957-C759F91D4668}"/>
    <cellStyle name="Currency 5 3 2 2 2 9" xfId="4657" xr:uid="{00000000-0005-0000-0000-00009D0C0000}"/>
    <cellStyle name="Currency 5 3 2 2 2 9 2" xfId="13086" xr:uid="{D468C666-5D27-4EF4-8D82-5886BDC8889B}"/>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2 2" xfId="15644" xr:uid="{ECF9304B-9CE0-4A01-AAB0-377AAE9C4182}"/>
    <cellStyle name="Currency 5 3 2 2 3 2 3" xfId="11426" xr:uid="{C101E90E-96B5-4F30-9E4E-63AB275223F7}"/>
    <cellStyle name="Currency 5 3 2 2 3 3" xfId="5070" xr:uid="{00000000-0005-0000-0000-0000A10C0000}"/>
    <cellStyle name="Currency 5 3 2 2 3 3 2" xfId="13499" xr:uid="{1744E38F-739E-4F19-888E-E3B389944159}"/>
    <cellStyle name="Currency 5 3 2 2 3 4" xfId="9281" xr:uid="{CF05C2E6-4FB1-4A63-B876-8F52C76486D7}"/>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2 2" xfId="16057" xr:uid="{79E52911-3A37-42BF-BACF-1D0E9A0DC6E7}"/>
    <cellStyle name="Currency 5 3 2 2 4 2 3" xfId="11839" xr:uid="{C0723043-A99B-4319-80BF-76BAC6930319}"/>
    <cellStyle name="Currency 5 3 2 2 4 3" xfId="5483" xr:uid="{00000000-0005-0000-0000-0000A50C0000}"/>
    <cellStyle name="Currency 5 3 2 2 4 3 2" xfId="13912" xr:uid="{16F86798-2A4F-4251-88B7-C6C205BA3C87}"/>
    <cellStyle name="Currency 5 3 2 2 4 4" xfId="9694" xr:uid="{42905164-F3B2-40F1-A6C5-CF5BA410AF8D}"/>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2 2" xfId="16470" xr:uid="{E20C7E90-BF97-4705-B2F4-844F0059DD3E}"/>
    <cellStyle name="Currency 5 3 2 2 5 2 3" xfId="12252" xr:uid="{2BC423D2-03A3-4206-9B3D-ECEE6B24185A}"/>
    <cellStyle name="Currency 5 3 2 2 5 3" xfId="5896" xr:uid="{00000000-0005-0000-0000-0000A90C0000}"/>
    <cellStyle name="Currency 5 3 2 2 5 3 2" xfId="14325" xr:uid="{4C425FD2-DDC6-4081-96AA-78DA3776B19A}"/>
    <cellStyle name="Currency 5 3 2 2 5 4" xfId="10107" xr:uid="{F4D7D4ED-63E5-4548-B557-5F920BCF156A}"/>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2 2" xfId="16883" xr:uid="{BCF57C5D-145F-4E26-83B5-0AA74D0AA72A}"/>
    <cellStyle name="Currency 5 3 2 2 6 2 3" xfId="12665" xr:uid="{BCDE8885-D65E-4982-A91E-32B7703FE420}"/>
    <cellStyle name="Currency 5 3 2 2 6 3" xfId="6309" xr:uid="{00000000-0005-0000-0000-0000AD0C0000}"/>
    <cellStyle name="Currency 5 3 2 2 6 3 2" xfId="14738" xr:uid="{B2E565C9-6EA8-4817-892B-E49ABAFAD90F}"/>
    <cellStyle name="Currency 5 3 2 2 6 4" xfId="10520" xr:uid="{5C4D4323-D58F-40DF-8C6A-B84F61DC1550}"/>
    <cellStyle name="Currency 5 3 2 2 7" xfId="2436" xr:uid="{00000000-0005-0000-0000-0000AE0C0000}"/>
    <cellStyle name="Currency 5 3 2 2 7 2" xfId="6722" xr:uid="{00000000-0005-0000-0000-0000AF0C0000}"/>
    <cellStyle name="Currency 5 3 2 2 7 2 2" xfId="15151" xr:uid="{A8141592-EB45-4CF8-BD28-249D44944814}"/>
    <cellStyle name="Currency 5 3 2 2 7 3" xfId="10933" xr:uid="{0761D8BD-2141-446C-B035-22A656A0E6B4}"/>
    <cellStyle name="Currency 5 3 2 2 8" xfId="2733" xr:uid="{00000000-0005-0000-0000-0000B00C0000}"/>
    <cellStyle name="Currency 5 3 2 2 9" xfId="2814" xr:uid="{00000000-0005-0000-0000-0000B10C0000}"/>
    <cellStyle name="Currency 5 3 2 2 9 2" xfId="7039" xr:uid="{00000000-0005-0000-0000-0000B20C0000}"/>
    <cellStyle name="Currency 5 3 2 2 9 2 2" xfId="15468" xr:uid="{20EE4616-D177-406C-8BA9-23B6253CA562}"/>
    <cellStyle name="Currency 5 3 2 2 9 3" xfId="11250" xr:uid="{6E6AD337-4BA6-40CC-98A9-28F7D05C758C}"/>
    <cellStyle name="Currency 5 3 2 3" xfId="213" xr:uid="{00000000-0005-0000-0000-0000B30C0000}"/>
    <cellStyle name="Currency 5 3 2 3 10" xfId="8869" xr:uid="{24BFB0DD-E95F-4266-A7EB-9DB3C91CD8FB}"/>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2 2" xfId="15646" xr:uid="{AE62F00A-09A0-49B4-AC2B-CE7AF89CE0CB}"/>
    <cellStyle name="Currency 5 3 2 3 2 2 3" xfId="11428" xr:uid="{56491D88-CD03-413E-898A-37E964A751F8}"/>
    <cellStyle name="Currency 5 3 2 3 2 3" xfId="5072" xr:uid="{00000000-0005-0000-0000-0000B70C0000}"/>
    <cellStyle name="Currency 5 3 2 3 2 3 2" xfId="13501" xr:uid="{5DF48A25-5FB3-4A31-A2B5-3033609FB4EE}"/>
    <cellStyle name="Currency 5 3 2 3 2 4" xfId="9283" xr:uid="{464078C8-9C9C-490B-BD54-929C68DE2EBF}"/>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2 2" xfId="16059" xr:uid="{23ECA20D-7305-44F0-96A7-CBBFB9BFC037}"/>
    <cellStyle name="Currency 5 3 2 3 3 2 3" xfId="11841" xr:uid="{6C7CF629-5040-4742-B1ED-06165D2DE043}"/>
    <cellStyle name="Currency 5 3 2 3 3 3" xfId="5485" xr:uid="{00000000-0005-0000-0000-0000BB0C0000}"/>
    <cellStyle name="Currency 5 3 2 3 3 3 2" xfId="13914" xr:uid="{B6133175-F694-44B0-8DED-521D7B5321F5}"/>
    <cellStyle name="Currency 5 3 2 3 3 4" xfId="9696" xr:uid="{C4838EBD-043F-4013-89E1-CFF4E8C9EF81}"/>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2 2" xfId="16472" xr:uid="{4428478B-5862-4C4C-8DCE-FFABD6C2078C}"/>
    <cellStyle name="Currency 5 3 2 3 4 2 3" xfId="12254" xr:uid="{4573A3CF-F28C-4D1F-8E16-15796CB73FE0}"/>
    <cellStyle name="Currency 5 3 2 3 4 3" xfId="5898" xr:uid="{00000000-0005-0000-0000-0000BF0C0000}"/>
    <cellStyle name="Currency 5 3 2 3 4 3 2" xfId="14327" xr:uid="{AD81B4CD-5AD2-49AC-91BD-84C4FD035AEF}"/>
    <cellStyle name="Currency 5 3 2 3 4 4" xfId="10109" xr:uid="{69DB47E7-18C1-4F14-8CC3-0809817568E7}"/>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2 2" xfId="16885" xr:uid="{687EEDC0-2338-4F13-B094-0EA15ADA49CA}"/>
    <cellStyle name="Currency 5 3 2 3 5 2 3" xfId="12667" xr:uid="{2666F872-6C45-47E9-88C4-9DE1FFC92193}"/>
    <cellStyle name="Currency 5 3 2 3 5 3" xfId="6311" xr:uid="{00000000-0005-0000-0000-0000C30C0000}"/>
    <cellStyle name="Currency 5 3 2 3 5 3 2" xfId="14740" xr:uid="{D3CD9442-0123-4EE7-830F-0645AB3C3317}"/>
    <cellStyle name="Currency 5 3 2 3 5 4" xfId="10522" xr:uid="{5DC10420-2156-42A7-B1D1-593CC5D320C2}"/>
    <cellStyle name="Currency 5 3 2 3 6" xfId="2438" xr:uid="{00000000-0005-0000-0000-0000C40C0000}"/>
    <cellStyle name="Currency 5 3 2 3 6 2" xfId="6724" xr:uid="{00000000-0005-0000-0000-0000C50C0000}"/>
    <cellStyle name="Currency 5 3 2 3 6 2 2" xfId="15153" xr:uid="{096528E3-BD53-484C-9453-20E2B2FEECD6}"/>
    <cellStyle name="Currency 5 3 2 3 6 3" xfId="10935" xr:uid="{2E1A2129-2D0C-42A4-A01C-0B5907386877}"/>
    <cellStyle name="Currency 5 3 2 3 7" xfId="2735" xr:uid="{00000000-0005-0000-0000-0000C60C0000}"/>
    <cellStyle name="Currency 5 3 2 3 8" xfId="2816" xr:uid="{00000000-0005-0000-0000-0000C70C0000}"/>
    <cellStyle name="Currency 5 3 2 3 8 2" xfId="7041" xr:uid="{00000000-0005-0000-0000-0000C80C0000}"/>
    <cellStyle name="Currency 5 3 2 3 8 2 2" xfId="15470" xr:uid="{87D26104-F2BB-409B-8B48-EA2992629567}"/>
    <cellStyle name="Currency 5 3 2 3 8 3" xfId="11252" xr:uid="{9BCE4887-F768-4F17-AAE4-3FC86E94E265}"/>
    <cellStyle name="Currency 5 3 2 3 9" xfId="4658" xr:uid="{00000000-0005-0000-0000-0000C90C0000}"/>
    <cellStyle name="Currency 5 3 2 3 9 2" xfId="13087" xr:uid="{70211046-2639-4EA1-AA69-610CC4A4832A}"/>
    <cellStyle name="Currency 5 3 2 4" xfId="737" xr:uid="{00000000-0005-0000-0000-0000CA0C0000}"/>
    <cellStyle name="Currency 5 3 2 4 2" xfId="2990" xr:uid="{00000000-0005-0000-0000-0000CB0C0000}"/>
    <cellStyle name="Currency 5 3 2 4 2 2" xfId="7214" xr:uid="{00000000-0005-0000-0000-0000CC0C0000}"/>
    <cellStyle name="Currency 5 3 2 4 2 2 2" xfId="15643" xr:uid="{C3A9307B-F349-4339-8301-037CCB441CAB}"/>
    <cellStyle name="Currency 5 3 2 4 2 3" xfId="11425" xr:uid="{990C71B6-6BD2-4E22-97FE-AF2816F67A05}"/>
    <cellStyle name="Currency 5 3 2 4 3" xfId="5069" xr:uid="{00000000-0005-0000-0000-0000CD0C0000}"/>
    <cellStyle name="Currency 5 3 2 4 3 2" xfId="13498" xr:uid="{64D90389-3E8C-4DA7-B534-4BFED6C5261E}"/>
    <cellStyle name="Currency 5 3 2 4 4" xfId="9280" xr:uid="{45ACB96A-B033-4333-BA44-EAEDCF6C8017}"/>
    <cellStyle name="Currency 5 3 2 5" xfId="1172" xr:uid="{00000000-0005-0000-0000-0000CE0C0000}"/>
    <cellStyle name="Currency 5 3 2 5 2" xfId="3403" xr:uid="{00000000-0005-0000-0000-0000CF0C0000}"/>
    <cellStyle name="Currency 5 3 2 5 2 2" xfId="7627" xr:uid="{00000000-0005-0000-0000-0000D00C0000}"/>
    <cellStyle name="Currency 5 3 2 5 2 2 2" xfId="16056" xr:uid="{F0B50E34-647F-450D-BCAC-EFBC6A5791F1}"/>
    <cellStyle name="Currency 5 3 2 5 2 3" xfId="11838" xr:uid="{CCA99B78-C45A-40A8-B34F-B382C0448B24}"/>
    <cellStyle name="Currency 5 3 2 5 3" xfId="5482" xr:uid="{00000000-0005-0000-0000-0000D10C0000}"/>
    <cellStyle name="Currency 5 3 2 5 3 2" xfId="13911" xr:uid="{A3CE53D8-BE53-4F47-8E48-4E1626D59967}"/>
    <cellStyle name="Currency 5 3 2 5 4" xfId="9693" xr:uid="{49202040-A47D-420C-B224-22BE5595E2FB}"/>
    <cellStyle name="Currency 5 3 2 6" xfId="1586" xr:uid="{00000000-0005-0000-0000-0000D20C0000}"/>
    <cellStyle name="Currency 5 3 2 6 2" xfId="3816" xr:uid="{00000000-0005-0000-0000-0000D30C0000}"/>
    <cellStyle name="Currency 5 3 2 6 2 2" xfId="8040" xr:uid="{00000000-0005-0000-0000-0000D40C0000}"/>
    <cellStyle name="Currency 5 3 2 6 2 2 2" xfId="16469" xr:uid="{071AFD7E-3C0E-4E2B-8C8F-D531D0E99978}"/>
    <cellStyle name="Currency 5 3 2 6 2 3" xfId="12251" xr:uid="{8BBE06A0-5C2D-4741-8FCD-535775EAE29F}"/>
    <cellStyle name="Currency 5 3 2 6 3" xfId="5895" xr:uid="{00000000-0005-0000-0000-0000D50C0000}"/>
    <cellStyle name="Currency 5 3 2 6 3 2" xfId="14324" xr:uid="{149C8C74-DB46-4B21-B269-F720EFEB4E3A}"/>
    <cellStyle name="Currency 5 3 2 6 4" xfId="10106" xr:uid="{7FCEA476-3D63-4877-8961-ABDC272A7696}"/>
    <cellStyle name="Currency 5 3 2 7" xfId="2000" xr:uid="{00000000-0005-0000-0000-0000D60C0000}"/>
    <cellStyle name="Currency 5 3 2 7 2" xfId="4229" xr:uid="{00000000-0005-0000-0000-0000D70C0000}"/>
    <cellStyle name="Currency 5 3 2 7 2 2" xfId="8453" xr:uid="{00000000-0005-0000-0000-0000D80C0000}"/>
    <cellStyle name="Currency 5 3 2 7 2 2 2" xfId="16882" xr:uid="{A28DEC37-A152-4B9F-B27B-6FFCFC39CAC3}"/>
    <cellStyle name="Currency 5 3 2 7 2 3" xfId="12664" xr:uid="{88B797B5-35E5-42C3-9AE9-67CCD7FB29F5}"/>
    <cellStyle name="Currency 5 3 2 7 3" xfId="6308" xr:uid="{00000000-0005-0000-0000-0000D90C0000}"/>
    <cellStyle name="Currency 5 3 2 7 3 2" xfId="14737" xr:uid="{DDB93888-DF64-416B-BE5D-BB0BD4960D27}"/>
    <cellStyle name="Currency 5 3 2 7 4" xfId="10519" xr:uid="{E19B2AE3-EDD9-4593-ABEF-C1CB7F9931E4}"/>
    <cellStyle name="Currency 5 3 2 8" xfId="2435" xr:uid="{00000000-0005-0000-0000-0000DA0C0000}"/>
    <cellStyle name="Currency 5 3 2 8 2" xfId="6721" xr:uid="{00000000-0005-0000-0000-0000DB0C0000}"/>
    <cellStyle name="Currency 5 3 2 8 2 2" xfId="15150" xr:uid="{E3B2379C-584C-453E-A4A4-5064C914BF44}"/>
    <cellStyle name="Currency 5 3 2 8 3" xfId="10932" xr:uid="{4809EB78-9A78-49A9-963E-7A85D1235601}"/>
    <cellStyle name="Currency 5 3 2 9" xfId="2732" xr:uid="{00000000-0005-0000-0000-0000DC0C0000}"/>
    <cellStyle name="Currency 5 3 3" xfId="214" xr:uid="{00000000-0005-0000-0000-0000DD0C0000}"/>
    <cellStyle name="Currency 5 3 3 10" xfId="4659" xr:uid="{00000000-0005-0000-0000-0000DE0C0000}"/>
    <cellStyle name="Currency 5 3 3 10 2" xfId="13088" xr:uid="{935B49CD-B911-4754-A506-CC56BE22AB57}"/>
    <cellStyle name="Currency 5 3 3 11" xfId="8870" xr:uid="{7A737F03-C5AC-4CCD-83C0-96888ADA2BE6}"/>
    <cellStyle name="Currency 5 3 3 2" xfId="215" xr:uid="{00000000-0005-0000-0000-0000DF0C0000}"/>
    <cellStyle name="Currency 5 3 3 2 10" xfId="8871" xr:uid="{1A8C0454-7465-46F8-A38E-474D4B64D4CD}"/>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2 2" xfId="15648" xr:uid="{28D3F7E6-4E9F-41EE-987D-4235D4BA52FE}"/>
    <cellStyle name="Currency 5 3 3 2 2 2 3" xfId="11430" xr:uid="{3F669A5B-F07B-4510-A794-DFD6DB17F9B9}"/>
    <cellStyle name="Currency 5 3 3 2 2 3" xfId="5074" xr:uid="{00000000-0005-0000-0000-0000E30C0000}"/>
    <cellStyle name="Currency 5 3 3 2 2 3 2" xfId="13503" xr:uid="{226111FC-66D6-4896-830A-1C455FB102D9}"/>
    <cellStyle name="Currency 5 3 3 2 2 4" xfId="9285" xr:uid="{F0AFA058-B20B-4C2A-AB99-67F960D049D5}"/>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2 2" xfId="16061" xr:uid="{7AD9CEB3-3A1F-4856-9417-F750F4B2AA3B}"/>
    <cellStyle name="Currency 5 3 3 2 3 2 3" xfId="11843" xr:uid="{9A6E4186-5E38-42AC-B384-D87941F8EB22}"/>
    <cellStyle name="Currency 5 3 3 2 3 3" xfId="5487" xr:uid="{00000000-0005-0000-0000-0000E70C0000}"/>
    <cellStyle name="Currency 5 3 3 2 3 3 2" xfId="13916" xr:uid="{C4BFA284-7A2B-48E2-8894-CC3F0A172117}"/>
    <cellStyle name="Currency 5 3 3 2 3 4" xfId="9698" xr:uid="{59C63C6B-365B-474F-A1C7-C89C824DDAEA}"/>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2 2" xfId="16474" xr:uid="{F2E41998-88DA-4D23-8C36-46A653ECE8C5}"/>
    <cellStyle name="Currency 5 3 3 2 4 2 3" xfId="12256" xr:uid="{9E2BF3D5-8600-4D9D-9813-508BFAAC0868}"/>
    <cellStyle name="Currency 5 3 3 2 4 3" xfId="5900" xr:uid="{00000000-0005-0000-0000-0000EB0C0000}"/>
    <cellStyle name="Currency 5 3 3 2 4 3 2" xfId="14329" xr:uid="{2C7BB258-4EFD-466B-ADB1-B1AA1001C6F9}"/>
    <cellStyle name="Currency 5 3 3 2 4 4" xfId="10111" xr:uid="{DE81A456-A4DC-4027-A2C8-B62DA5CEAF95}"/>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2 2" xfId="16887" xr:uid="{ADC07AFD-A676-405E-A2DA-D6E931EB5110}"/>
    <cellStyle name="Currency 5 3 3 2 5 2 3" xfId="12669" xr:uid="{AF9C9EE3-1560-40D7-A19D-A6E0E9DB0534}"/>
    <cellStyle name="Currency 5 3 3 2 5 3" xfId="6313" xr:uid="{00000000-0005-0000-0000-0000EF0C0000}"/>
    <cellStyle name="Currency 5 3 3 2 5 3 2" xfId="14742" xr:uid="{B84C7406-233F-4BB9-ADC2-F614C4E61875}"/>
    <cellStyle name="Currency 5 3 3 2 5 4" xfId="10524" xr:uid="{6579A8EF-4AC3-4213-8D3F-9C74460BD96A}"/>
    <cellStyle name="Currency 5 3 3 2 6" xfId="2440" xr:uid="{00000000-0005-0000-0000-0000F00C0000}"/>
    <cellStyle name="Currency 5 3 3 2 6 2" xfId="6726" xr:uid="{00000000-0005-0000-0000-0000F10C0000}"/>
    <cellStyle name="Currency 5 3 3 2 6 2 2" xfId="15155" xr:uid="{D66C2DD4-0A7B-4E29-A1EE-ABC47388EBFF}"/>
    <cellStyle name="Currency 5 3 3 2 6 3" xfId="10937" xr:uid="{62450D57-E73B-4BCF-BAA3-9D4BB661B78F}"/>
    <cellStyle name="Currency 5 3 3 2 7" xfId="2737" xr:uid="{00000000-0005-0000-0000-0000F20C0000}"/>
    <cellStyle name="Currency 5 3 3 2 8" xfId="2818" xr:uid="{00000000-0005-0000-0000-0000F30C0000}"/>
    <cellStyle name="Currency 5 3 3 2 8 2" xfId="7043" xr:uid="{00000000-0005-0000-0000-0000F40C0000}"/>
    <cellStyle name="Currency 5 3 3 2 8 2 2" xfId="15472" xr:uid="{CC7EEFF0-9F87-4D07-9C06-D3FD991EDE1E}"/>
    <cellStyle name="Currency 5 3 3 2 8 3" xfId="11254" xr:uid="{F7B8006D-65A0-473E-B018-13C366E922FA}"/>
    <cellStyle name="Currency 5 3 3 2 9" xfId="4660" xr:uid="{00000000-0005-0000-0000-0000F50C0000}"/>
    <cellStyle name="Currency 5 3 3 2 9 2" xfId="13089" xr:uid="{339F0D0F-FBC4-419C-8414-BAF30FCD872B}"/>
    <cellStyle name="Currency 5 3 3 3" xfId="741" xr:uid="{00000000-0005-0000-0000-0000F60C0000}"/>
    <cellStyle name="Currency 5 3 3 3 2" xfId="2994" xr:uid="{00000000-0005-0000-0000-0000F70C0000}"/>
    <cellStyle name="Currency 5 3 3 3 2 2" xfId="7218" xr:uid="{00000000-0005-0000-0000-0000F80C0000}"/>
    <cellStyle name="Currency 5 3 3 3 2 2 2" xfId="15647" xr:uid="{248B4D78-5CBD-4593-BFC6-8863B2ECD1B4}"/>
    <cellStyle name="Currency 5 3 3 3 2 3" xfId="11429" xr:uid="{76960C4B-5FDD-4C46-AC4B-92BA7AD43481}"/>
    <cellStyle name="Currency 5 3 3 3 3" xfId="5073" xr:uid="{00000000-0005-0000-0000-0000F90C0000}"/>
    <cellStyle name="Currency 5 3 3 3 3 2" xfId="13502" xr:uid="{5676FD1A-53D1-4331-A933-066AD7C660DA}"/>
    <cellStyle name="Currency 5 3 3 3 4" xfId="9284" xr:uid="{76B2C0AC-7876-411B-A918-5D8BD597F7F1}"/>
    <cellStyle name="Currency 5 3 3 4" xfId="1176" xr:uid="{00000000-0005-0000-0000-0000FA0C0000}"/>
    <cellStyle name="Currency 5 3 3 4 2" xfId="3407" xr:uid="{00000000-0005-0000-0000-0000FB0C0000}"/>
    <cellStyle name="Currency 5 3 3 4 2 2" xfId="7631" xr:uid="{00000000-0005-0000-0000-0000FC0C0000}"/>
    <cellStyle name="Currency 5 3 3 4 2 2 2" xfId="16060" xr:uid="{37A1FBE7-D643-4FE0-9C65-F8263CAE36CB}"/>
    <cellStyle name="Currency 5 3 3 4 2 3" xfId="11842" xr:uid="{85707C63-CB5B-4E70-9780-07AB82C22919}"/>
    <cellStyle name="Currency 5 3 3 4 3" xfId="5486" xr:uid="{00000000-0005-0000-0000-0000FD0C0000}"/>
    <cellStyle name="Currency 5 3 3 4 3 2" xfId="13915" xr:uid="{D1DC72B6-D8A2-471F-BE5C-ED5A00A64BB7}"/>
    <cellStyle name="Currency 5 3 3 4 4" xfId="9697" xr:uid="{0EEE60A8-EB06-41CB-9B3C-72133173D5FD}"/>
    <cellStyle name="Currency 5 3 3 5" xfId="1590" xr:uid="{00000000-0005-0000-0000-0000FE0C0000}"/>
    <cellStyle name="Currency 5 3 3 5 2" xfId="3820" xr:uid="{00000000-0005-0000-0000-0000FF0C0000}"/>
    <cellStyle name="Currency 5 3 3 5 2 2" xfId="8044" xr:uid="{00000000-0005-0000-0000-0000000D0000}"/>
    <cellStyle name="Currency 5 3 3 5 2 2 2" xfId="16473" xr:uid="{2925725A-A3F3-439C-A23E-CCB8AB4B35AD}"/>
    <cellStyle name="Currency 5 3 3 5 2 3" xfId="12255" xr:uid="{70EDA934-8297-4CD1-BF59-76BE21E205A4}"/>
    <cellStyle name="Currency 5 3 3 5 3" xfId="5899" xr:uid="{00000000-0005-0000-0000-0000010D0000}"/>
    <cellStyle name="Currency 5 3 3 5 3 2" xfId="14328" xr:uid="{F5FC5BD4-D0A3-4A4F-899A-F0A42A7C5B0A}"/>
    <cellStyle name="Currency 5 3 3 5 4" xfId="10110" xr:uid="{2EC36815-F322-470F-956A-DA4272EBCDE8}"/>
    <cellStyle name="Currency 5 3 3 6" xfId="2004" xr:uid="{00000000-0005-0000-0000-0000020D0000}"/>
    <cellStyle name="Currency 5 3 3 6 2" xfId="4233" xr:uid="{00000000-0005-0000-0000-0000030D0000}"/>
    <cellStyle name="Currency 5 3 3 6 2 2" xfId="8457" xr:uid="{00000000-0005-0000-0000-0000040D0000}"/>
    <cellStyle name="Currency 5 3 3 6 2 2 2" xfId="16886" xr:uid="{08964839-B456-4497-A8F9-407CDAD70214}"/>
    <cellStyle name="Currency 5 3 3 6 2 3" xfId="12668" xr:uid="{96E1306D-CA5B-40A1-BA39-66ACC34193E3}"/>
    <cellStyle name="Currency 5 3 3 6 3" xfId="6312" xr:uid="{00000000-0005-0000-0000-0000050D0000}"/>
    <cellStyle name="Currency 5 3 3 6 3 2" xfId="14741" xr:uid="{71D98584-5E09-4860-9D02-A364C89ECADC}"/>
    <cellStyle name="Currency 5 3 3 6 4" xfId="10523" xr:uid="{854A23AA-F4FF-4DE1-ABFA-A8DFE176CD60}"/>
    <cellStyle name="Currency 5 3 3 7" xfId="2439" xr:uid="{00000000-0005-0000-0000-0000060D0000}"/>
    <cellStyle name="Currency 5 3 3 7 2" xfId="6725" xr:uid="{00000000-0005-0000-0000-0000070D0000}"/>
    <cellStyle name="Currency 5 3 3 7 2 2" xfId="15154" xr:uid="{7B79CED3-EB29-41BB-A7A9-C33291E35736}"/>
    <cellStyle name="Currency 5 3 3 7 3" xfId="10936" xr:uid="{9F781361-296D-4CDD-BF43-6965F0C3ED66}"/>
    <cellStyle name="Currency 5 3 3 8" xfId="2736" xr:uid="{00000000-0005-0000-0000-0000080D0000}"/>
    <cellStyle name="Currency 5 3 3 9" xfId="2817" xr:uid="{00000000-0005-0000-0000-0000090D0000}"/>
    <cellStyle name="Currency 5 3 3 9 2" xfId="7042" xr:uid="{00000000-0005-0000-0000-00000A0D0000}"/>
    <cellStyle name="Currency 5 3 3 9 2 2" xfId="15471" xr:uid="{A37E99F0-24CF-4CCC-A73E-B362E853673A}"/>
    <cellStyle name="Currency 5 3 3 9 3" xfId="11253" xr:uid="{B8055940-3B92-4C11-8A72-3C6030BC3DCE}"/>
    <cellStyle name="Currency 5 3 4" xfId="216" xr:uid="{00000000-0005-0000-0000-00000B0D0000}"/>
    <cellStyle name="Currency 5 3 4 10" xfId="8872" xr:uid="{1C170000-1566-4935-8116-0221A1DB732D}"/>
    <cellStyle name="Currency 5 3 4 2" xfId="743" xr:uid="{00000000-0005-0000-0000-00000C0D0000}"/>
    <cellStyle name="Currency 5 3 4 2 2" xfId="2996" xr:uid="{00000000-0005-0000-0000-00000D0D0000}"/>
    <cellStyle name="Currency 5 3 4 2 2 2" xfId="7220" xr:uid="{00000000-0005-0000-0000-00000E0D0000}"/>
    <cellStyle name="Currency 5 3 4 2 2 2 2" xfId="15649" xr:uid="{450F3E67-6BC0-48B5-B607-BBCB662F7D7B}"/>
    <cellStyle name="Currency 5 3 4 2 2 3" xfId="11431" xr:uid="{11E7119A-44E5-4196-9CF3-2956AFF06B73}"/>
    <cellStyle name="Currency 5 3 4 2 3" xfId="5075" xr:uid="{00000000-0005-0000-0000-00000F0D0000}"/>
    <cellStyle name="Currency 5 3 4 2 3 2" xfId="13504" xr:uid="{3948BC4B-7804-4C2D-BC86-ED1BBD8DD8CF}"/>
    <cellStyle name="Currency 5 3 4 2 4" xfId="9286" xr:uid="{8DEBBB2E-73CA-4A17-BFD2-5BD086A27145}"/>
    <cellStyle name="Currency 5 3 4 3" xfId="1178" xr:uid="{00000000-0005-0000-0000-0000100D0000}"/>
    <cellStyle name="Currency 5 3 4 3 2" xfId="3409" xr:uid="{00000000-0005-0000-0000-0000110D0000}"/>
    <cellStyle name="Currency 5 3 4 3 2 2" xfId="7633" xr:uid="{00000000-0005-0000-0000-0000120D0000}"/>
    <cellStyle name="Currency 5 3 4 3 2 2 2" xfId="16062" xr:uid="{521F1B38-7101-4983-AF70-9905A995F9CD}"/>
    <cellStyle name="Currency 5 3 4 3 2 3" xfId="11844" xr:uid="{01781508-EB9D-4C0B-B941-955B854D4208}"/>
    <cellStyle name="Currency 5 3 4 3 3" xfId="5488" xr:uid="{00000000-0005-0000-0000-0000130D0000}"/>
    <cellStyle name="Currency 5 3 4 3 3 2" xfId="13917" xr:uid="{F3CA0102-0B41-4E9F-8E3E-18F78B2A283F}"/>
    <cellStyle name="Currency 5 3 4 3 4" xfId="9699" xr:uid="{00E709EB-2B8D-4D68-A524-1C74B72ADD8D}"/>
    <cellStyle name="Currency 5 3 4 4" xfId="1592" xr:uid="{00000000-0005-0000-0000-0000140D0000}"/>
    <cellStyle name="Currency 5 3 4 4 2" xfId="3822" xr:uid="{00000000-0005-0000-0000-0000150D0000}"/>
    <cellStyle name="Currency 5 3 4 4 2 2" xfId="8046" xr:uid="{00000000-0005-0000-0000-0000160D0000}"/>
    <cellStyle name="Currency 5 3 4 4 2 2 2" xfId="16475" xr:uid="{7085EF64-0B9B-4679-9888-DF5EF4A8693D}"/>
    <cellStyle name="Currency 5 3 4 4 2 3" xfId="12257" xr:uid="{FF787FC8-22F8-4655-9EFC-544CB7BBBF50}"/>
    <cellStyle name="Currency 5 3 4 4 3" xfId="5901" xr:uid="{00000000-0005-0000-0000-0000170D0000}"/>
    <cellStyle name="Currency 5 3 4 4 3 2" xfId="14330" xr:uid="{0A47D7FE-B5CF-4AB2-B210-B0472C84627E}"/>
    <cellStyle name="Currency 5 3 4 4 4" xfId="10112" xr:uid="{20714CBE-5727-4FAA-AF18-844D1A9DD500}"/>
    <cellStyle name="Currency 5 3 4 5" xfId="2006" xr:uid="{00000000-0005-0000-0000-0000180D0000}"/>
    <cellStyle name="Currency 5 3 4 5 2" xfId="4235" xr:uid="{00000000-0005-0000-0000-0000190D0000}"/>
    <cellStyle name="Currency 5 3 4 5 2 2" xfId="8459" xr:uid="{00000000-0005-0000-0000-00001A0D0000}"/>
    <cellStyle name="Currency 5 3 4 5 2 2 2" xfId="16888" xr:uid="{AF24D908-6D7B-4137-B21F-11F6C7A2F072}"/>
    <cellStyle name="Currency 5 3 4 5 2 3" xfId="12670" xr:uid="{D2DD8C55-2606-4012-BB04-C3638DF30469}"/>
    <cellStyle name="Currency 5 3 4 5 3" xfId="6314" xr:uid="{00000000-0005-0000-0000-00001B0D0000}"/>
    <cellStyle name="Currency 5 3 4 5 3 2" xfId="14743" xr:uid="{850CAE68-8DF5-4B6D-9393-651E65C2359F}"/>
    <cellStyle name="Currency 5 3 4 5 4" xfId="10525" xr:uid="{24231E40-6EEF-4294-A0F8-9997DC99FC88}"/>
    <cellStyle name="Currency 5 3 4 6" xfId="2441" xr:uid="{00000000-0005-0000-0000-00001C0D0000}"/>
    <cellStyle name="Currency 5 3 4 6 2" xfId="6727" xr:uid="{00000000-0005-0000-0000-00001D0D0000}"/>
    <cellStyle name="Currency 5 3 4 6 2 2" xfId="15156" xr:uid="{3360670F-9F14-4D80-8BE6-8BDFF4C8B8E0}"/>
    <cellStyle name="Currency 5 3 4 6 3" xfId="10938" xr:uid="{A21E6922-6E2C-48B2-9BD7-4D4A98FDEB42}"/>
    <cellStyle name="Currency 5 3 4 7" xfId="2738" xr:uid="{00000000-0005-0000-0000-00001E0D0000}"/>
    <cellStyle name="Currency 5 3 4 8" xfId="2819" xr:uid="{00000000-0005-0000-0000-00001F0D0000}"/>
    <cellStyle name="Currency 5 3 4 8 2" xfId="7044" xr:uid="{00000000-0005-0000-0000-0000200D0000}"/>
    <cellStyle name="Currency 5 3 4 8 2 2" xfId="15473" xr:uid="{193FD54B-EF96-4DBD-AEC1-DFE32EAA783E}"/>
    <cellStyle name="Currency 5 3 4 8 3" xfId="11255" xr:uid="{F33E2CB8-CB69-4A74-8F82-94F76DF81F88}"/>
    <cellStyle name="Currency 5 3 4 9" xfId="4661" xr:uid="{00000000-0005-0000-0000-0000210D0000}"/>
    <cellStyle name="Currency 5 3 4 9 2" xfId="13090" xr:uid="{EB8206DC-B89C-47CA-818F-EFA1185437B3}"/>
    <cellStyle name="Currency 5 3 5" xfId="217" xr:uid="{00000000-0005-0000-0000-0000220D0000}"/>
    <cellStyle name="Currency 5 3 5 10" xfId="8873" xr:uid="{E216CDBA-B82C-4ED7-B950-0AB819E63A5D}"/>
    <cellStyle name="Currency 5 3 5 2" xfId="744" xr:uid="{00000000-0005-0000-0000-0000230D0000}"/>
    <cellStyle name="Currency 5 3 5 2 2" xfId="2997" xr:uid="{00000000-0005-0000-0000-0000240D0000}"/>
    <cellStyle name="Currency 5 3 5 2 2 2" xfId="7221" xr:uid="{00000000-0005-0000-0000-0000250D0000}"/>
    <cellStyle name="Currency 5 3 5 2 2 2 2" xfId="15650" xr:uid="{9A80789E-6AAD-4816-9B1C-86D9C097CBEF}"/>
    <cellStyle name="Currency 5 3 5 2 2 3" xfId="11432" xr:uid="{86165F56-5D96-401C-AC59-E7992348A683}"/>
    <cellStyle name="Currency 5 3 5 2 3" xfId="5076" xr:uid="{00000000-0005-0000-0000-0000260D0000}"/>
    <cellStyle name="Currency 5 3 5 2 3 2" xfId="13505" xr:uid="{C07686E6-9D7A-4B2B-9DD6-80884D72869C}"/>
    <cellStyle name="Currency 5 3 5 2 4" xfId="9287" xr:uid="{415B790A-7C44-4FAA-8A50-9F56AD073310}"/>
    <cellStyle name="Currency 5 3 5 3" xfId="1179" xr:uid="{00000000-0005-0000-0000-0000270D0000}"/>
    <cellStyle name="Currency 5 3 5 3 2" xfId="3410" xr:uid="{00000000-0005-0000-0000-0000280D0000}"/>
    <cellStyle name="Currency 5 3 5 3 2 2" xfId="7634" xr:uid="{00000000-0005-0000-0000-0000290D0000}"/>
    <cellStyle name="Currency 5 3 5 3 2 2 2" xfId="16063" xr:uid="{59BF51E4-5C05-435E-8791-27D8A22D2D9B}"/>
    <cellStyle name="Currency 5 3 5 3 2 3" xfId="11845" xr:uid="{A548B3BA-FF99-4516-BD73-28FEB378F6A2}"/>
    <cellStyle name="Currency 5 3 5 3 3" xfId="5489" xr:uid="{00000000-0005-0000-0000-00002A0D0000}"/>
    <cellStyle name="Currency 5 3 5 3 3 2" xfId="13918" xr:uid="{DADADA6D-5E94-41FE-BDAF-55EA57A7AC43}"/>
    <cellStyle name="Currency 5 3 5 3 4" xfId="9700" xr:uid="{BD37CC3D-E4CE-4123-AFDC-4E19CE39B80A}"/>
    <cellStyle name="Currency 5 3 5 4" xfId="1593" xr:uid="{00000000-0005-0000-0000-00002B0D0000}"/>
    <cellStyle name="Currency 5 3 5 4 2" xfId="3823" xr:uid="{00000000-0005-0000-0000-00002C0D0000}"/>
    <cellStyle name="Currency 5 3 5 4 2 2" xfId="8047" xr:uid="{00000000-0005-0000-0000-00002D0D0000}"/>
    <cellStyle name="Currency 5 3 5 4 2 2 2" xfId="16476" xr:uid="{D0A90443-6831-4096-B428-FAD25D7440CA}"/>
    <cellStyle name="Currency 5 3 5 4 2 3" xfId="12258" xr:uid="{2AF5F109-08DC-469B-851A-382706A245CC}"/>
    <cellStyle name="Currency 5 3 5 4 3" xfId="5902" xr:uid="{00000000-0005-0000-0000-00002E0D0000}"/>
    <cellStyle name="Currency 5 3 5 4 3 2" xfId="14331" xr:uid="{AF6F5F8F-2097-4E24-B80A-B59C5B06569D}"/>
    <cellStyle name="Currency 5 3 5 4 4" xfId="10113" xr:uid="{20C40FA1-D42C-49A8-A9E6-EE8BE073B84B}"/>
    <cellStyle name="Currency 5 3 5 5" xfId="2007" xr:uid="{00000000-0005-0000-0000-00002F0D0000}"/>
    <cellStyle name="Currency 5 3 5 5 2" xfId="4236" xr:uid="{00000000-0005-0000-0000-0000300D0000}"/>
    <cellStyle name="Currency 5 3 5 5 2 2" xfId="8460" xr:uid="{00000000-0005-0000-0000-0000310D0000}"/>
    <cellStyle name="Currency 5 3 5 5 2 2 2" xfId="16889" xr:uid="{6308A06F-C0DF-4FFB-B862-D6A3D7B3FD7E}"/>
    <cellStyle name="Currency 5 3 5 5 2 3" xfId="12671" xr:uid="{0E474956-4E64-46B4-B574-3191DDB41E83}"/>
    <cellStyle name="Currency 5 3 5 5 3" xfId="6315" xr:uid="{00000000-0005-0000-0000-0000320D0000}"/>
    <cellStyle name="Currency 5 3 5 5 3 2" xfId="14744" xr:uid="{A98AF40B-B8C8-404F-993C-091B8021A720}"/>
    <cellStyle name="Currency 5 3 5 5 4" xfId="10526" xr:uid="{3CD657B1-8AC3-4143-A8A5-850A6E622598}"/>
    <cellStyle name="Currency 5 3 5 6" xfId="2442" xr:uid="{00000000-0005-0000-0000-0000330D0000}"/>
    <cellStyle name="Currency 5 3 5 6 2" xfId="6728" xr:uid="{00000000-0005-0000-0000-0000340D0000}"/>
    <cellStyle name="Currency 5 3 5 6 2 2" xfId="15157" xr:uid="{976B26DB-BF9D-46AA-8012-DB15CCAE60BC}"/>
    <cellStyle name="Currency 5 3 5 6 3" xfId="10939" xr:uid="{E75F5176-6618-4AF3-8BDF-53F2AF498AC1}"/>
    <cellStyle name="Currency 5 3 5 7" xfId="2739" xr:uid="{00000000-0005-0000-0000-0000350D0000}"/>
    <cellStyle name="Currency 5 3 5 8" xfId="2820" xr:uid="{00000000-0005-0000-0000-0000360D0000}"/>
    <cellStyle name="Currency 5 3 5 8 2" xfId="7045" xr:uid="{00000000-0005-0000-0000-0000370D0000}"/>
    <cellStyle name="Currency 5 3 5 8 2 2" xfId="15474" xr:uid="{8403481C-438A-421C-853D-71BA2EDDEBF1}"/>
    <cellStyle name="Currency 5 3 5 8 3" xfId="11256" xr:uid="{6929A377-7E1C-4334-A1ED-8BD460F4F311}"/>
    <cellStyle name="Currency 5 3 5 9" xfId="4662" xr:uid="{00000000-0005-0000-0000-0000380D0000}"/>
    <cellStyle name="Currency 5 3 5 9 2" xfId="13091" xr:uid="{0435F8D7-BD28-434B-90D3-B75A189038AC}"/>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0 2" xfId="13092" xr:uid="{235300B6-4A25-497D-837A-1D136504A06A}"/>
    <cellStyle name="Currency 5 5 11" xfId="8874" xr:uid="{4D7B66E9-2D56-4FB8-8066-B17F151A82CF}"/>
    <cellStyle name="Currency 5 5 2" xfId="220" xr:uid="{00000000-0005-0000-0000-00003D0D0000}"/>
    <cellStyle name="Currency 5 5 2 10" xfId="8875" xr:uid="{9B0567BF-F12D-4D43-B6A1-23C2B5F47621}"/>
    <cellStyle name="Currency 5 5 2 2" xfId="747" xr:uid="{00000000-0005-0000-0000-00003E0D0000}"/>
    <cellStyle name="Currency 5 5 2 2 2" xfId="2999" xr:uid="{00000000-0005-0000-0000-00003F0D0000}"/>
    <cellStyle name="Currency 5 5 2 2 2 2" xfId="7223" xr:uid="{00000000-0005-0000-0000-0000400D0000}"/>
    <cellStyle name="Currency 5 5 2 2 2 2 2" xfId="15652" xr:uid="{6E035DB6-63C4-483D-8F07-DF99DD0685F4}"/>
    <cellStyle name="Currency 5 5 2 2 2 3" xfId="11434" xr:uid="{23C369F6-12E7-4A10-9EA8-29D42B25481F}"/>
    <cellStyle name="Currency 5 5 2 2 3" xfId="5078" xr:uid="{00000000-0005-0000-0000-0000410D0000}"/>
    <cellStyle name="Currency 5 5 2 2 3 2" xfId="13507" xr:uid="{7088002B-A359-45A6-B606-DEF2C06C15B4}"/>
    <cellStyle name="Currency 5 5 2 2 4" xfId="9289" xr:uid="{0E8955F8-78BE-415F-A06D-3EC7F75EC64B}"/>
    <cellStyle name="Currency 5 5 2 3" xfId="1181" xr:uid="{00000000-0005-0000-0000-0000420D0000}"/>
    <cellStyle name="Currency 5 5 2 3 2" xfId="3412" xr:uid="{00000000-0005-0000-0000-0000430D0000}"/>
    <cellStyle name="Currency 5 5 2 3 2 2" xfId="7636" xr:uid="{00000000-0005-0000-0000-0000440D0000}"/>
    <cellStyle name="Currency 5 5 2 3 2 2 2" xfId="16065" xr:uid="{041D4045-5670-41EC-8E80-FBC9F800EFB0}"/>
    <cellStyle name="Currency 5 5 2 3 2 3" xfId="11847" xr:uid="{E06F9922-01B0-4ED7-8B3D-43A0534EEF11}"/>
    <cellStyle name="Currency 5 5 2 3 3" xfId="5491" xr:uid="{00000000-0005-0000-0000-0000450D0000}"/>
    <cellStyle name="Currency 5 5 2 3 3 2" xfId="13920" xr:uid="{FBAFAF5D-EC57-4E7F-BF36-7F9A41BF901A}"/>
    <cellStyle name="Currency 5 5 2 3 4" xfId="9702" xr:uid="{43F7D081-1910-4757-8A99-1E18AD62EB31}"/>
    <cellStyle name="Currency 5 5 2 4" xfId="1595" xr:uid="{00000000-0005-0000-0000-0000460D0000}"/>
    <cellStyle name="Currency 5 5 2 4 2" xfId="3825" xr:uid="{00000000-0005-0000-0000-0000470D0000}"/>
    <cellStyle name="Currency 5 5 2 4 2 2" xfId="8049" xr:uid="{00000000-0005-0000-0000-0000480D0000}"/>
    <cellStyle name="Currency 5 5 2 4 2 2 2" xfId="16478" xr:uid="{ADB4F0B8-7406-4014-8471-0C78FDFFB3FB}"/>
    <cellStyle name="Currency 5 5 2 4 2 3" xfId="12260" xr:uid="{82DA5DF7-ED4D-4BDC-8CE1-88A882B6C40A}"/>
    <cellStyle name="Currency 5 5 2 4 3" xfId="5904" xr:uid="{00000000-0005-0000-0000-0000490D0000}"/>
    <cellStyle name="Currency 5 5 2 4 3 2" xfId="14333" xr:uid="{91F809F1-E320-460B-9EAB-D8E766C43BBA}"/>
    <cellStyle name="Currency 5 5 2 4 4" xfId="10115" xr:uid="{465F6099-8EDE-4D99-800D-B10B84D9CBA0}"/>
    <cellStyle name="Currency 5 5 2 5" xfId="2009" xr:uid="{00000000-0005-0000-0000-00004A0D0000}"/>
    <cellStyle name="Currency 5 5 2 5 2" xfId="4238" xr:uid="{00000000-0005-0000-0000-00004B0D0000}"/>
    <cellStyle name="Currency 5 5 2 5 2 2" xfId="8462" xr:uid="{00000000-0005-0000-0000-00004C0D0000}"/>
    <cellStyle name="Currency 5 5 2 5 2 2 2" xfId="16891" xr:uid="{5BEF24A7-E9E2-4DCC-957C-E466D9DDD2E6}"/>
    <cellStyle name="Currency 5 5 2 5 2 3" xfId="12673" xr:uid="{82A9E130-FB29-4866-9947-B88D6BE46833}"/>
    <cellStyle name="Currency 5 5 2 5 3" xfId="6317" xr:uid="{00000000-0005-0000-0000-00004D0D0000}"/>
    <cellStyle name="Currency 5 5 2 5 3 2" xfId="14746" xr:uid="{5DEA9A2E-65AE-42A1-B45F-50360F5BC139}"/>
    <cellStyle name="Currency 5 5 2 5 4" xfId="10528" xr:uid="{3A01A179-3AA3-484D-94EB-D3D56E18FE18}"/>
    <cellStyle name="Currency 5 5 2 6" xfId="2444" xr:uid="{00000000-0005-0000-0000-00004E0D0000}"/>
    <cellStyle name="Currency 5 5 2 6 2" xfId="6730" xr:uid="{00000000-0005-0000-0000-00004F0D0000}"/>
    <cellStyle name="Currency 5 5 2 6 2 2" xfId="15159" xr:uid="{77A0E3D7-67F4-429D-A1D5-B727EF0084F2}"/>
    <cellStyle name="Currency 5 5 2 6 3" xfId="10941" xr:uid="{28AEC860-A112-4F27-9652-F99E331DC4EC}"/>
    <cellStyle name="Currency 5 5 2 7" xfId="2741" xr:uid="{00000000-0005-0000-0000-0000500D0000}"/>
    <cellStyle name="Currency 5 5 2 8" xfId="2822" xr:uid="{00000000-0005-0000-0000-0000510D0000}"/>
    <cellStyle name="Currency 5 5 2 8 2" xfId="7047" xr:uid="{00000000-0005-0000-0000-0000520D0000}"/>
    <cellStyle name="Currency 5 5 2 8 2 2" xfId="15476" xr:uid="{5FF55BB4-F8C1-47EF-A9A7-20AA3AAD9E23}"/>
    <cellStyle name="Currency 5 5 2 8 3" xfId="11258" xr:uid="{7459D575-7983-425A-8F10-94DE3164525E}"/>
    <cellStyle name="Currency 5 5 2 9" xfId="4664" xr:uid="{00000000-0005-0000-0000-0000530D0000}"/>
    <cellStyle name="Currency 5 5 2 9 2" xfId="13093" xr:uid="{09F843B7-86BC-4C16-B934-80EEBD3A2A60}"/>
    <cellStyle name="Currency 5 5 3" xfId="746" xr:uid="{00000000-0005-0000-0000-0000540D0000}"/>
    <cellStyle name="Currency 5 5 3 2" xfId="2998" xr:uid="{00000000-0005-0000-0000-0000550D0000}"/>
    <cellStyle name="Currency 5 5 3 2 2" xfId="7222" xr:uid="{00000000-0005-0000-0000-0000560D0000}"/>
    <cellStyle name="Currency 5 5 3 2 2 2" xfId="15651" xr:uid="{212431B0-4BFC-4A23-8310-10489E0A81C9}"/>
    <cellStyle name="Currency 5 5 3 2 3" xfId="11433" xr:uid="{950570B9-D46B-4D23-8064-C295B4BE84C7}"/>
    <cellStyle name="Currency 5 5 3 3" xfId="5077" xr:uid="{00000000-0005-0000-0000-0000570D0000}"/>
    <cellStyle name="Currency 5 5 3 3 2" xfId="13506" xr:uid="{68642FDB-3D98-4817-86CC-537AB3A984CB}"/>
    <cellStyle name="Currency 5 5 3 4" xfId="9288" xr:uid="{174D8FCA-B4A8-45B6-A8EC-8955C0B0C722}"/>
    <cellStyle name="Currency 5 5 4" xfId="1180" xr:uid="{00000000-0005-0000-0000-0000580D0000}"/>
    <cellStyle name="Currency 5 5 4 2" xfId="3411" xr:uid="{00000000-0005-0000-0000-0000590D0000}"/>
    <cellStyle name="Currency 5 5 4 2 2" xfId="7635" xr:uid="{00000000-0005-0000-0000-00005A0D0000}"/>
    <cellStyle name="Currency 5 5 4 2 2 2" xfId="16064" xr:uid="{4DDC93BA-B400-4718-841E-93C896FD7196}"/>
    <cellStyle name="Currency 5 5 4 2 3" xfId="11846" xr:uid="{5111C365-C9A7-471C-A0D0-C3E1EF9EF771}"/>
    <cellStyle name="Currency 5 5 4 3" xfId="5490" xr:uid="{00000000-0005-0000-0000-00005B0D0000}"/>
    <cellStyle name="Currency 5 5 4 3 2" xfId="13919" xr:uid="{B701DE0B-878B-4DE5-8DB9-6DD9BC86BCC7}"/>
    <cellStyle name="Currency 5 5 4 4" xfId="9701" xr:uid="{B4307167-A437-460C-8971-D0C16259ED98}"/>
    <cellStyle name="Currency 5 5 5" xfId="1594" xr:uid="{00000000-0005-0000-0000-00005C0D0000}"/>
    <cellStyle name="Currency 5 5 5 2" xfId="3824" xr:uid="{00000000-0005-0000-0000-00005D0D0000}"/>
    <cellStyle name="Currency 5 5 5 2 2" xfId="8048" xr:uid="{00000000-0005-0000-0000-00005E0D0000}"/>
    <cellStyle name="Currency 5 5 5 2 2 2" xfId="16477" xr:uid="{1C7B2BB9-D0DA-429B-B5E6-7A0F748B0791}"/>
    <cellStyle name="Currency 5 5 5 2 3" xfId="12259" xr:uid="{32E5114D-8D98-4002-AC2F-22D52DB916D1}"/>
    <cellStyle name="Currency 5 5 5 3" xfId="5903" xr:uid="{00000000-0005-0000-0000-00005F0D0000}"/>
    <cellStyle name="Currency 5 5 5 3 2" xfId="14332" xr:uid="{B282CF53-5EE1-4F44-B884-11CCBA118E35}"/>
    <cellStyle name="Currency 5 5 5 4" xfId="10114" xr:uid="{736E543E-856E-44D8-AA58-6A91D209A0C4}"/>
    <cellStyle name="Currency 5 5 6" xfId="2008" xr:uid="{00000000-0005-0000-0000-0000600D0000}"/>
    <cellStyle name="Currency 5 5 6 2" xfId="4237" xr:uid="{00000000-0005-0000-0000-0000610D0000}"/>
    <cellStyle name="Currency 5 5 6 2 2" xfId="8461" xr:uid="{00000000-0005-0000-0000-0000620D0000}"/>
    <cellStyle name="Currency 5 5 6 2 2 2" xfId="16890" xr:uid="{56D01C74-C5DF-441B-8376-9C58146D722B}"/>
    <cellStyle name="Currency 5 5 6 2 3" xfId="12672" xr:uid="{BDFA4601-2E6A-4BA5-B234-8EF9BC20601C}"/>
    <cellStyle name="Currency 5 5 6 3" xfId="6316" xr:uid="{00000000-0005-0000-0000-0000630D0000}"/>
    <cellStyle name="Currency 5 5 6 3 2" xfId="14745" xr:uid="{C818C916-2ED6-4721-A9DF-62A20BE13E1C}"/>
    <cellStyle name="Currency 5 5 6 4" xfId="10527" xr:uid="{334B7182-AD2D-486F-A01E-4B563B4383A0}"/>
    <cellStyle name="Currency 5 5 7" xfId="2443" xr:uid="{00000000-0005-0000-0000-0000640D0000}"/>
    <cellStyle name="Currency 5 5 7 2" xfId="6729" xr:uid="{00000000-0005-0000-0000-0000650D0000}"/>
    <cellStyle name="Currency 5 5 7 2 2" xfId="15158" xr:uid="{A514F7EA-35F8-40D3-9728-4666D40ED776}"/>
    <cellStyle name="Currency 5 5 7 3" xfId="10940" xr:uid="{5F81A033-55D5-43DE-BF46-C096AC99C8B3}"/>
    <cellStyle name="Currency 5 5 8" xfId="2740" xr:uid="{00000000-0005-0000-0000-0000660D0000}"/>
    <cellStyle name="Currency 5 5 9" xfId="2821" xr:uid="{00000000-0005-0000-0000-0000670D0000}"/>
    <cellStyle name="Currency 5 5 9 2" xfId="7046" xr:uid="{00000000-0005-0000-0000-0000680D0000}"/>
    <cellStyle name="Currency 5 5 9 2 2" xfId="15475" xr:uid="{F9791C88-864E-4220-9A84-162F5BEE79EE}"/>
    <cellStyle name="Currency 5 5 9 3" xfId="11257" xr:uid="{FCE3473F-7A72-40B5-85FA-BCBF317C289F}"/>
    <cellStyle name="Currency 5 6" xfId="221" xr:uid="{00000000-0005-0000-0000-0000690D0000}"/>
    <cellStyle name="Currency 5 6 10" xfId="8876" xr:uid="{991E2856-32AA-4E9D-B413-250A7F60243B}"/>
    <cellStyle name="Currency 5 6 2" xfId="748" xr:uid="{00000000-0005-0000-0000-00006A0D0000}"/>
    <cellStyle name="Currency 5 6 2 2" xfId="3000" xr:uid="{00000000-0005-0000-0000-00006B0D0000}"/>
    <cellStyle name="Currency 5 6 2 2 2" xfId="7224" xr:uid="{00000000-0005-0000-0000-00006C0D0000}"/>
    <cellStyle name="Currency 5 6 2 2 2 2" xfId="15653" xr:uid="{993BD848-A531-4E68-BD6A-87111A3BA05E}"/>
    <cellStyle name="Currency 5 6 2 2 3" xfId="11435" xr:uid="{6397E4A9-1C97-4462-9A8A-F326C69F51ED}"/>
    <cellStyle name="Currency 5 6 2 3" xfId="5079" xr:uid="{00000000-0005-0000-0000-00006D0D0000}"/>
    <cellStyle name="Currency 5 6 2 3 2" xfId="13508" xr:uid="{24D9C25B-400D-4DB6-8144-D8DAAC659522}"/>
    <cellStyle name="Currency 5 6 2 4" xfId="9290" xr:uid="{FABD0535-B6CD-4A45-A99B-F2CB0CE71B92}"/>
    <cellStyle name="Currency 5 6 3" xfId="1182" xr:uid="{00000000-0005-0000-0000-00006E0D0000}"/>
    <cellStyle name="Currency 5 6 3 2" xfId="3413" xr:uid="{00000000-0005-0000-0000-00006F0D0000}"/>
    <cellStyle name="Currency 5 6 3 2 2" xfId="7637" xr:uid="{00000000-0005-0000-0000-0000700D0000}"/>
    <cellStyle name="Currency 5 6 3 2 2 2" xfId="16066" xr:uid="{0C494E02-F540-43A8-97EE-06F36B146102}"/>
    <cellStyle name="Currency 5 6 3 2 3" xfId="11848" xr:uid="{4AA1179F-0211-44E4-97FF-66F8ED3F4424}"/>
    <cellStyle name="Currency 5 6 3 3" xfId="5492" xr:uid="{00000000-0005-0000-0000-0000710D0000}"/>
    <cellStyle name="Currency 5 6 3 3 2" xfId="13921" xr:uid="{BED306B1-BFDA-47C0-BFE5-1DB953253177}"/>
    <cellStyle name="Currency 5 6 3 4" xfId="9703" xr:uid="{CDE70BC4-67EB-495A-A810-22F63D6DEF77}"/>
    <cellStyle name="Currency 5 6 4" xfId="1596" xr:uid="{00000000-0005-0000-0000-0000720D0000}"/>
    <cellStyle name="Currency 5 6 4 2" xfId="3826" xr:uid="{00000000-0005-0000-0000-0000730D0000}"/>
    <cellStyle name="Currency 5 6 4 2 2" xfId="8050" xr:uid="{00000000-0005-0000-0000-0000740D0000}"/>
    <cellStyle name="Currency 5 6 4 2 2 2" xfId="16479" xr:uid="{2AEC892C-C827-49CF-A44E-B22DD293D65E}"/>
    <cellStyle name="Currency 5 6 4 2 3" xfId="12261" xr:uid="{596C20AF-9D5C-422B-96FE-5BEF1A1172FF}"/>
    <cellStyle name="Currency 5 6 4 3" xfId="5905" xr:uid="{00000000-0005-0000-0000-0000750D0000}"/>
    <cellStyle name="Currency 5 6 4 3 2" xfId="14334" xr:uid="{718282CA-B649-4CB3-8FE9-AFFAC57E8BB4}"/>
    <cellStyle name="Currency 5 6 4 4" xfId="10116" xr:uid="{7D5A4A6A-571A-43B0-9D06-16484341CC8C}"/>
    <cellStyle name="Currency 5 6 5" xfId="2010" xr:uid="{00000000-0005-0000-0000-0000760D0000}"/>
    <cellStyle name="Currency 5 6 5 2" xfId="4239" xr:uid="{00000000-0005-0000-0000-0000770D0000}"/>
    <cellStyle name="Currency 5 6 5 2 2" xfId="8463" xr:uid="{00000000-0005-0000-0000-0000780D0000}"/>
    <cellStyle name="Currency 5 6 5 2 2 2" xfId="16892" xr:uid="{01DE8109-C1EF-4868-A7C1-A6F758061A0C}"/>
    <cellStyle name="Currency 5 6 5 2 3" xfId="12674" xr:uid="{F35849C0-05AF-4755-986A-5DB345F5A4D4}"/>
    <cellStyle name="Currency 5 6 5 3" xfId="6318" xr:uid="{00000000-0005-0000-0000-0000790D0000}"/>
    <cellStyle name="Currency 5 6 5 3 2" xfId="14747" xr:uid="{EDABB8C4-7138-4726-B1B8-3E410DC5D9C1}"/>
    <cellStyle name="Currency 5 6 5 4" xfId="10529" xr:uid="{CA2A95B4-81C3-4440-9E54-F246781F799D}"/>
    <cellStyle name="Currency 5 6 6" xfId="2445" xr:uid="{00000000-0005-0000-0000-00007A0D0000}"/>
    <cellStyle name="Currency 5 6 6 2" xfId="6731" xr:uid="{00000000-0005-0000-0000-00007B0D0000}"/>
    <cellStyle name="Currency 5 6 6 2 2" xfId="15160" xr:uid="{D8A0601A-E58A-4CE9-84E2-7DD21E656576}"/>
    <cellStyle name="Currency 5 6 6 3" xfId="10942" xr:uid="{71800291-F0DE-4B5D-AABD-51B7B45EDF72}"/>
    <cellStyle name="Currency 5 6 7" xfId="2742" xr:uid="{00000000-0005-0000-0000-00007C0D0000}"/>
    <cellStyle name="Currency 5 6 8" xfId="2823" xr:uid="{00000000-0005-0000-0000-00007D0D0000}"/>
    <cellStyle name="Currency 5 6 8 2" xfId="7048" xr:uid="{00000000-0005-0000-0000-00007E0D0000}"/>
    <cellStyle name="Currency 5 6 8 2 2" xfId="15477" xr:uid="{C439DE1D-0AE5-4EC6-BF0C-FE313487365C}"/>
    <cellStyle name="Currency 5 6 8 3" xfId="11259" xr:uid="{C2586D9D-743B-409F-B28C-AD9A2BD18C15}"/>
    <cellStyle name="Currency 5 6 9" xfId="4665" xr:uid="{00000000-0005-0000-0000-00007F0D0000}"/>
    <cellStyle name="Currency 5 6 9 2" xfId="13094" xr:uid="{16C44E34-91EC-4BED-95B2-4E7A489888E7}"/>
    <cellStyle name="Currency 5 7" xfId="222" xr:uid="{00000000-0005-0000-0000-0000800D0000}"/>
    <cellStyle name="Currency 5 7 10" xfId="8877" xr:uid="{56B9D816-B1C7-4235-823A-5C71CC527242}"/>
    <cellStyle name="Currency 5 7 2" xfId="749" xr:uid="{00000000-0005-0000-0000-0000810D0000}"/>
    <cellStyle name="Currency 5 7 2 2" xfId="3001" xr:uid="{00000000-0005-0000-0000-0000820D0000}"/>
    <cellStyle name="Currency 5 7 2 2 2" xfId="7225" xr:uid="{00000000-0005-0000-0000-0000830D0000}"/>
    <cellStyle name="Currency 5 7 2 2 2 2" xfId="15654" xr:uid="{3EB108A3-6ACD-4938-B833-30FEA165EB9C}"/>
    <cellStyle name="Currency 5 7 2 2 3" xfId="11436" xr:uid="{B0B3A956-093C-4504-AFD1-35F4B7266503}"/>
    <cellStyle name="Currency 5 7 2 3" xfId="5080" xr:uid="{00000000-0005-0000-0000-0000840D0000}"/>
    <cellStyle name="Currency 5 7 2 3 2" xfId="13509" xr:uid="{A4BE536D-B18B-413C-9B46-26D2DD268470}"/>
    <cellStyle name="Currency 5 7 2 4" xfId="9291" xr:uid="{9D772199-1B91-4890-B2EE-C2F1D8623036}"/>
    <cellStyle name="Currency 5 7 3" xfId="1183" xr:uid="{00000000-0005-0000-0000-0000850D0000}"/>
    <cellStyle name="Currency 5 7 3 2" xfId="3414" xr:uid="{00000000-0005-0000-0000-0000860D0000}"/>
    <cellStyle name="Currency 5 7 3 2 2" xfId="7638" xr:uid="{00000000-0005-0000-0000-0000870D0000}"/>
    <cellStyle name="Currency 5 7 3 2 2 2" xfId="16067" xr:uid="{9D6209C6-6C5B-4358-87C9-1DFAD7B8FC43}"/>
    <cellStyle name="Currency 5 7 3 2 3" xfId="11849" xr:uid="{46A72A98-F1FD-424D-BA70-797B95406072}"/>
    <cellStyle name="Currency 5 7 3 3" xfId="5493" xr:uid="{00000000-0005-0000-0000-0000880D0000}"/>
    <cellStyle name="Currency 5 7 3 3 2" xfId="13922" xr:uid="{04FBBF6A-9724-4995-A723-75C09237A1D5}"/>
    <cellStyle name="Currency 5 7 3 4" xfId="9704" xr:uid="{E50B3F04-B4DD-4F44-A5E9-6BEC0C818332}"/>
    <cellStyle name="Currency 5 7 4" xfId="1597" xr:uid="{00000000-0005-0000-0000-0000890D0000}"/>
    <cellStyle name="Currency 5 7 4 2" xfId="3827" xr:uid="{00000000-0005-0000-0000-00008A0D0000}"/>
    <cellStyle name="Currency 5 7 4 2 2" xfId="8051" xr:uid="{00000000-0005-0000-0000-00008B0D0000}"/>
    <cellStyle name="Currency 5 7 4 2 2 2" xfId="16480" xr:uid="{2B0A5CD2-041F-418F-9935-B2F8BA4E0C9D}"/>
    <cellStyle name="Currency 5 7 4 2 3" xfId="12262" xr:uid="{37FEFD67-5998-4267-8C42-5AFAA4A4A50E}"/>
    <cellStyle name="Currency 5 7 4 3" xfId="5906" xr:uid="{00000000-0005-0000-0000-00008C0D0000}"/>
    <cellStyle name="Currency 5 7 4 3 2" xfId="14335" xr:uid="{FC8AD36B-ADA8-40D8-8090-40C693069591}"/>
    <cellStyle name="Currency 5 7 4 4" xfId="10117" xr:uid="{3BF44FDC-2FA4-4DFE-850D-C15CF562A6B6}"/>
    <cellStyle name="Currency 5 7 5" xfId="2011" xr:uid="{00000000-0005-0000-0000-00008D0D0000}"/>
    <cellStyle name="Currency 5 7 5 2" xfId="4240" xr:uid="{00000000-0005-0000-0000-00008E0D0000}"/>
    <cellStyle name="Currency 5 7 5 2 2" xfId="8464" xr:uid="{00000000-0005-0000-0000-00008F0D0000}"/>
    <cellStyle name="Currency 5 7 5 2 2 2" xfId="16893" xr:uid="{389E7E75-57E5-4FC5-B411-DE5E5F11BCA8}"/>
    <cellStyle name="Currency 5 7 5 2 3" xfId="12675" xr:uid="{66EA323C-7DB2-41CE-B1AA-5CE881F3E3F9}"/>
    <cellStyle name="Currency 5 7 5 3" xfId="6319" xr:uid="{00000000-0005-0000-0000-0000900D0000}"/>
    <cellStyle name="Currency 5 7 5 3 2" xfId="14748" xr:uid="{D08C8527-AD93-4C94-B726-52C1629CB723}"/>
    <cellStyle name="Currency 5 7 5 4" xfId="10530" xr:uid="{117C43BA-3B6D-4D07-B13E-72294CB2F3F8}"/>
    <cellStyle name="Currency 5 7 6" xfId="2446" xr:uid="{00000000-0005-0000-0000-0000910D0000}"/>
    <cellStyle name="Currency 5 7 6 2" xfId="6732" xr:uid="{00000000-0005-0000-0000-0000920D0000}"/>
    <cellStyle name="Currency 5 7 6 2 2" xfId="15161" xr:uid="{94A2316C-B6E8-435C-873F-5DAE9699D74D}"/>
    <cellStyle name="Currency 5 7 6 3" xfId="10943" xr:uid="{39E5F8E1-3BDD-405F-8577-8945E7DFB98D}"/>
    <cellStyle name="Currency 5 7 7" xfId="2743" xr:uid="{00000000-0005-0000-0000-0000930D0000}"/>
    <cellStyle name="Currency 5 7 8" xfId="2824" xr:uid="{00000000-0005-0000-0000-0000940D0000}"/>
    <cellStyle name="Currency 5 7 8 2" xfId="7049" xr:uid="{00000000-0005-0000-0000-0000950D0000}"/>
    <cellStyle name="Currency 5 7 8 2 2" xfId="15478" xr:uid="{69B22026-AA18-4DEE-8356-2C2806236FB1}"/>
    <cellStyle name="Currency 5 7 8 3" xfId="11260" xr:uid="{6EE0CA8C-894C-4F66-9F61-F21B5A43D62E}"/>
    <cellStyle name="Currency 5 7 9" xfId="4666" xr:uid="{00000000-0005-0000-0000-0000960D0000}"/>
    <cellStyle name="Currency 5 7 9 2" xfId="13095" xr:uid="{28190CE9-630F-46AE-B3BE-3417123A5087}"/>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0 2 2" xfId="15162" xr:uid="{DED77D74-2DD5-4CF2-9949-79EFC007BED6}"/>
    <cellStyle name="Normal 12 10 3" xfId="10944" xr:uid="{36B636E0-F78F-4632-AECC-559F2F81122F}"/>
    <cellStyle name="Normal 12 11" xfId="4667" xr:uid="{00000000-0005-0000-0000-0000CC0D0000}"/>
    <cellStyle name="Normal 12 11 2" xfId="13096" xr:uid="{D4E23128-84B5-485A-9DEA-385B8BDC4B70}"/>
    <cellStyle name="Normal 12 12" xfId="8878" xr:uid="{1DE234A3-5EA8-427C-BFC8-E341AE0BB67F}"/>
    <cellStyle name="Normal 12 2" xfId="260" xr:uid="{00000000-0005-0000-0000-0000CD0D0000}"/>
    <cellStyle name="Normal 12 2 10" xfId="8879" xr:uid="{7CDCF3CD-19B1-48DF-8253-4A15C26D233C}"/>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2 2" xfId="15658" xr:uid="{5BF79DB4-94A3-448A-B54D-5AD1C20B078D}"/>
    <cellStyle name="Normal 12 2 2 2 2 2 3" xfId="11440" xr:uid="{C3E838C2-0A67-448F-AA3F-77768867CA71}"/>
    <cellStyle name="Normal 12 2 2 2 2 3" xfId="5084" xr:uid="{00000000-0005-0000-0000-0000D30D0000}"/>
    <cellStyle name="Normal 12 2 2 2 2 3 2" xfId="13513" xr:uid="{DC8B4AA0-1277-4A39-8D0A-F1C20D363FC7}"/>
    <cellStyle name="Normal 12 2 2 2 2 4" xfId="9295" xr:uid="{874F01C4-187D-4915-BA4F-CA62124EA8B3}"/>
    <cellStyle name="Normal 12 2 2 2 3" xfId="1187" xr:uid="{00000000-0005-0000-0000-0000D40D0000}"/>
    <cellStyle name="Normal 12 2 2 2 3 2" xfId="3418" xr:uid="{00000000-0005-0000-0000-0000D50D0000}"/>
    <cellStyle name="Normal 12 2 2 2 3 2 2" xfId="7642" xr:uid="{00000000-0005-0000-0000-0000D60D0000}"/>
    <cellStyle name="Normal 12 2 2 2 3 2 2 2" xfId="16071" xr:uid="{DF4FA584-847A-4936-BDB5-B907CFCDB880}"/>
    <cellStyle name="Normal 12 2 2 2 3 2 3" xfId="11853" xr:uid="{25345BD6-CDF9-40F4-81AB-021BC3FE9B13}"/>
    <cellStyle name="Normal 12 2 2 2 3 3" xfId="5497" xr:uid="{00000000-0005-0000-0000-0000D70D0000}"/>
    <cellStyle name="Normal 12 2 2 2 3 3 2" xfId="13926" xr:uid="{A24002B1-5FC3-434A-AC94-1E9E7D60633C}"/>
    <cellStyle name="Normal 12 2 2 2 3 4" xfId="9708" xr:uid="{2F185C76-9CD1-449A-9D1B-0C11FF0D49C4}"/>
    <cellStyle name="Normal 12 2 2 2 4" xfId="1601" xr:uid="{00000000-0005-0000-0000-0000D80D0000}"/>
    <cellStyle name="Normal 12 2 2 2 4 2" xfId="3831" xr:uid="{00000000-0005-0000-0000-0000D90D0000}"/>
    <cellStyle name="Normal 12 2 2 2 4 2 2" xfId="8055" xr:uid="{00000000-0005-0000-0000-0000DA0D0000}"/>
    <cellStyle name="Normal 12 2 2 2 4 2 2 2" xfId="16484" xr:uid="{20360E22-F8AC-40DE-89B2-5F39426ECB7F}"/>
    <cellStyle name="Normal 12 2 2 2 4 2 3" xfId="12266" xr:uid="{54EB1B7B-4C85-4D3B-AF36-E678E5515861}"/>
    <cellStyle name="Normal 12 2 2 2 4 3" xfId="5910" xr:uid="{00000000-0005-0000-0000-0000DB0D0000}"/>
    <cellStyle name="Normal 12 2 2 2 4 3 2" xfId="14339" xr:uid="{F7F1F9B2-819B-4BD2-9E93-4180C2E8342A}"/>
    <cellStyle name="Normal 12 2 2 2 4 4" xfId="10121" xr:uid="{613BD7CF-FA29-4D8D-865E-75295DCBDE85}"/>
    <cellStyle name="Normal 12 2 2 2 5" xfId="2015" xr:uid="{00000000-0005-0000-0000-0000DC0D0000}"/>
    <cellStyle name="Normal 12 2 2 2 5 2" xfId="4244" xr:uid="{00000000-0005-0000-0000-0000DD0D0000}"/>
    <cellStyle name="Normal 12 2 2 2 5 2 2" xfId="8468" xr:uid="{00000000-0005-0000-0000-0000DE0D0000}"/>
    <cellStyle name="Normal 12 2 2 2 5 2 2 2" xfId="16897" xr:uid="{B716F4EE-71B1-4638-815D-91CA10DA29BD}"/>
    <cellStyle name="Normal 12 2 2 2 5 2 3" xfId="12679" xr:uid="{7253AA0E-5A0C-40A3-A12F-A9E9F647CDAC}"/>
    <cellStyle name="Normal 12 2 2 2 5 3" xfId="6323" xr:uid="{00000000-0005-0000-0000-0000DF0D0000}"/>
    <cellStyle name="Normal 12 2 2 2 5 3 2" xfId="14752" xr:uid="{D63DEF98-73B8-4F64-B93A-A98D6DBC13AE}"/>
    <cellStyle name="Normal 12 2 2 2 5 4" xfId="10534" xr:uid="{5060D5CF-CBE5-44C6-9645-61879F16CBD0}"/>
    <cellStyle name="Normal 12 2 2 2 6" xfId="2451" xr:uid="{00000000-0005-0000-0000-0000E00D0000}"/>
    <cellStyle name="Normal 12 2 2 2 6 2" xfId="6736" xr:uid="{00000000-0005-0000-0000-0000E10D0000}"/>
    <cellStyle name="Normal 12 2 2 2 6 2 2" xfId="15165" xr:uid="{4F3A608A-FF33-45DC-A5FF-3641E9EBB7F7}"/>
    <cellStyle name="Normal 12 2 2 2 6 3" xfId="10947" xr:uid="{3ED2B72D-3908-47AB-A463-A3F3F788E4DE}"/>
    <cellStyle name="Normal 12 2 2 2 7" xfId="4670" xr:uid="{00000000-0005-0000-0000-0000E20D0000}"/>
    <cellStyle name="Normal 12 2 2 2 7 2" xfId="13099" xr:uid="{7DEE4249-0D32-49B6-B0C4-AE5A8A488290}"/>
    <cellStyle name="Normal 12 2 2 2 8" xfId="8881" xr:uid="{31C81702-9276-4C4F-9416-28742A802810}"/>
    <cellStyle name="Normal 12 2 2 3" xfId="763" xr:uid="{00000000-0005-0000-0000-0000E30D0000}"/>
    <cellStyle name="Normal 12 2 2 3 2" xfId="3004" xr:uid="{00000000-0005-0000-0000-0000E40D0000}"/>
    <cellStyle name="Normal 12 2 2 3 2 2" xfId="7228" xr:uid="{00000000-0005-0000-0000-0000E50D0000}"/>
    <cellStyle name="Normal 12 2 2 3 2 2 2" xfId="15657" xr:uid="{E5B7D967-9615-436C-9976-7FDD0CAA68E6}"/>
    <cellStyle name="Normal 12 2 2 3 2 3" xfId="11439" xr:uid="{F8925E81-04DF-4D0E-AD68-FA14BAD3D889}"/>
    <cellStyle name="Normal 12 2 2 3 3" xfId="5083" xr:uid="{00000000-0005-0000-0000-0000E60D0000}"/>
    <cellStyle name="Normal 12 2 2 3 3 2" xfId="13512" xr:uid="{DA0E13E0-864B-49E4-B058-01ADF517B48B}"/>
    <cellStyle name="Normal 12 2 2 3 4" xfId="9294" xr:uid="{183647F1-55E8-46DC-9DF7-69D41CF52790}"/>
    <cellStyle name="Normal 12 2 2 4" xfId="1186" xr:uid="{00000000-0005-0000-0000-0000E70D0000}"/>
    <cellStyle name="Normal 12 2 2 4 2" xfId="3417" xr:uid="{00000000-0005-0000-0000-0000E80D0000}"/>
    <cellStyle name="Normal 12 2 2 4 2 2" xfId="7641" xr:uid="{00000000-0005-0000-0000-0000E90D0000}"/>
    <cellStyle name="Normal 12 2 2 4 2 2 2" xfId="16070" xr:uid="{603D1085-CBFE-4174-9E26-72319CD698D3}"/>
    <cellStyle name="Normal 12 2 2 4 2 3" xfId="11852" xr:uid="{6E56C457-541F-4075-B212-EBC86CCD1D85}"/>
    <cellStyle name="Normal 12 2 2 4 3" xfId="5496" xr:uid="{00000000-0005-0000-0000-0000EA0D0000}"/>
    <cellStyle name="Normal 12 2 2 4 3 2" xfId="13925" xr:uid="{32FA0C1C-86D4-46C8-815E-9F4A7931BA15}"/>
    <cellStyle name="Normal 12 2 2 4 4" xfId="9707" xr:uid="{6490DB91-CF78-44E1-9901-270BBF357C84}"/>
    <cellStyle name="Normal 12 2 2 5" xfId="1600" xr:uid="{00000000-0005-0000-0000-0000EB0D0000}"/>
    <cellStyle name="Normal 12 2 2 5 2" xfId="3830" xr:uid="{00000000-0005-0000-0000-0000EC0D0000}"/>
    <cellStyle name="Normal 12 2 2 5 2 2" xfId="8054" xr:uid="{00000000-0005-0000-0000-0000ED0D0000}"/>
    <cellStyle name="Normal 12 2 2 5 2 2 2" xfId="16483" xr:uid="{FC7D4F4E-0EA2-448A-86EB-B65E1443286E}"/>
    <cellStyle name="Normal 12 2 2 5 2 3" xfId="12265" xr:uid="{8AA6F9CA-9F61-427E-B3F6-D6B6F3E5A502}"/>
    <cellStyle name="Normal 12 2 2 5 3" xfId="5909" xr:uid="{00000000-0005-0000-0000-0000EE0D0000}"/>
    <cellStyle name="Normal 12 2 2 5 3 2" xfId="14338" xr:uid="{11176FC4-BCE7-4E55-9948-FA19C96490AD}"/>
    <cellStyle name="Normal 12 2 2 5 4" xfId="10120" xr:uid="{64C51603-E604-474C-B989-4CA3DE73F6BF}"/>
    <cellStyle name="Normal 12 2 2 6" xfId="2014" xr:uid="{00000000-0005-0000-0000-0000EF0D0000}"/>
    <cellStyle name="Normal 12 2 2 6 2" xfId="4243" xr:uid="{00000000-0005-0000-0000-0000F00D0000}"/>
    <cellStyle name="Normal 12 2 2 6 2 2" xfId="8467" xr:uid="{00000000-0005-0000-0000-0000F10D0000}"/>
    <cellStyle name="Normal 12 2 2 6 2 2 2" xfId="16896" xr:uid="{87A2D5E6-17B7-472D-B078-96F292D4ADBE}"/>
    <cellStyle name="Normal 12 2 2 6 2 3" xfId="12678" xr:uid="{3E9644A2-2128-4721-B47F-9C1A9924EE82}"/>
    <cellStyle name="Normal 12 2 2 6 3" xfId="6322" xr:uid="{00000000-0005-0000-0000-0000F20D0000}"/>
    <cellStyle name="Normal 12 2 2 6 3 2" xfId="14751" xr:uid="{C784AA0A-5514-4BE5-9907-E328CEAB2CFC}"/>
    <cellStyle name="Normal 12 2 2 6 4" xfId="10533" xr:uid="{ACCAEF32-49F1-4289-9587-6BCA8B37B564}"/>
    <cellStyle name="Normal 12 2 2 7" xfId="2450" xr:uid="{00000000-0005-0000-0000-0000F30D0000}"/>
    <cellStyle name="Normal 12 2 2 7 2" xfId="6735" xr:uid="{00000000-0005-0000-0000-0000F40D0000}"/>
    <cellStyle name="Normal 12 2 2 7 2 2" xfId="15164" xr:uid="{19F04ADC-BAED-436B-B730-C126B40104F1}"/>
    <cellStyle name="Normal 12 2 2 7 3" xfId="10946" xr:uid="{E00D2463-9D54-4612-9F3D-EC2244427A1F}"/>
    <cellStyle name="Normal 12 2 2 8" xfId="4669" xr:uid="{00000000-0005-0000-0000-0000F50D0000}"/>
    <cellStyle name="Normal 12 2 2 8 2" xfId="13098" xr:uid="{56775C88-4123-4322-A603-AF11D2315093}"/>
    <cellStyle name="Normal 12 2 2 9" xfId="8880" xr:uid="{D84E571D-8312-49E5-A356-001360B2800A}"/>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2 2" xfId="15659" xr:uid="{7C574B16-11FA-4810-9252-BA459E155434}"/>
    <cellStyle name="Normal 12 2 3 2 2 3" xfId="11441" xr:uid="{860A9424-1AD8-4CBE-99E2-DC3FFF4ECFC9}"/>
    <cellStyle name="Normal 12 2 3 2 3" xfId="5085" xr:uid="{00000000-0005-0000-0000-0000FA0D0000}"/>
    <cellStyle name="Normal 12 2 3 2 3 2" xfId="13514" xr:uid="{CF2A81CC-616D-4A5D-9354-2AEE3A1571E6}"/>
    <cellStyle name="Normal 12 2 3 2 4" xfId="9296" xr:uid="{21E0AE7D-2546-425A-9ABF-6995D6474ED0}"/>
    <cellStyle name="Normal 12 2 3 3" xfId="1188" xr:uid="{00000000-0005-0000-0000-0000FB0D0000}"/>
    <cellStyle name="Normal 12 2 3 3 2" xfId="3419" xr:uid="{00000000-0005-0000-0000-0000FC0D0000}"/>
    <cellStyle name="Normal 12 2 3 3 2 2" xfId="7643" xr:uid="{00000000-0005-0000-0000-0000FD0D0000}"/>
    <cellStyle name="Normal 12 2 3 3 2 2 2" xfId="16072" xr:uid="{9D94CBE9-D36F-418F-A532-035BB7499B65}"/>
    <cellStyle name="Normal 12 2 3 3 2 3" xfId="11854" xr:uid="{31CA1418-5256-4C22-A399-88A429E522F4}"/>
    <cellStyle name="Normal 12 2 3 3 3" xfId="5498" xr:uid="{00000000-0005-0000-0000-0000FE0D0000}"/>
    <cellStyle name="Normal 12 2 3 3 3 2" xfId="13927" xr:uid="{D48A50E0-25F6-4AB0-9F59-A8A0B07C1949}"/>
    <cellStyle name="Normal 12 2 3 3 4" xfId="9709" xr:uid="{BA39A0CC-4781-4EC0-BA30-30F0FEE164A7}"/>
    <cellStyle name="Normal 12 2 3 4" xfId="1602" xr:uid="{00000000-0005-0000-0000-0000FF0D0000}"/>
    <cellStyle name="Normal 12 2 3 4 2" xfId="3832" xr:uid="{00000000-0005-0000-0000-0000000E0000}"/>
    <cellStyle name="Normal 12 2 3 4 2 2" xfId="8056" xr:uid="{00000000-0005-0000-0000-0000010E0000}"/>
    <cellStyle name="Normal 12 2 3 4 2 2 2" xfId="16485" xr:uid="{239088E4-03CD-4DA7-8939-4209895BCA67}"/>
    <cellStyle name="Normal 12 2 3 4 2 3" xfId="12267" xr:uid="{53410885-C674-4C5F-AACE-3A1406E091BB}"/>
    <cellStyle name="Normal 12 2 3 4 3" xfId="5911" xr:uid="{00000000-0005-0000-0000-0000020E0000}"/>
    <cellStyle name="Normal 12 2 3 4 3 2" xfId="14340" xr:uid="{321620FC-D3DC-4063-9D9F-0DE9E178E980}"/>
    <cellStyle name="Normal 12 2 3 4 4" xfId="10122" xr:uid="{2426FB0F-5BA4-44EF-969A-CBD03B8608DC}"/>
    <cellStyle name="Normal 12 2 3 5" xfId="2016" xr:uid="{00000000-0005-0000-0000-0000030E0000}"/>
    <cellStyle name="Normal 12 2 3 5 2" xfId="4245" xr:uid="{00000000-0005-0000-0000-0000040E0000}"/>
    <cellStyle name="Normal 12 2 3 5 2 2" xfId="8469" xr:uid="{00000000-0005-0000-0000-0000050E0000}"/>
    <cellStyle name="Normal 12 2 3 5 2 2 2" xfId="16898" xr:uid="{01B41CD3-89CD-4C8E-9F04-61264403062D}"/>
    <cellStyle name="Normal 12 2 3 5 2 3" xfId="12680" xr:uid="{9375A8E1-2E63-4DF8-AA30-18E7897264CC}"/>
    <cellStyle name="Normal 12 2 3 5 3" xfId="6324" xr:uid="{00000000-0005-0000-0000-0000060E0000}"/>
    <cellStyle name="Normal 12 2 3 5 3 2" xfId="14753" xr:uid="{341C0672-3427-4783-97F3-1096CD779975}"/>
    <cellStyle name="Normal 12 2 3 5 4" xfId="10535" xr:uid="{52DDCC9F-2D35-4850-B21C-555F99F37A14}"/>
    <cellStyle name="Normal 12 2 3 6" xfId="2452" xr:uid="{00000000-0005-0000-0000-0000070E0000}"/>
    <cellStyle name="Normal 12 2 3 6 2" xfId="6737" xr:uid="{00000000-0005-0000-0000-0000080E0000}"/>
    <cellStyle name="Normal 12 2 3 6 2 2" xfId="15166" xr:uid="{253A61C7-ACCD-4519-A219-652C50B1F0B0}"/>
    <cellStyle name="Normal 12 2 3 6 3" xfId="10948" xr:uid="{DBFA2152-CD3E-4443-B87A-B6F56C61C3C1}"/>
    <cellStyle name="Normal 12 2 3 7" xfId="4671" xr:uid="{00000000-0005-0000-0000-0000090E0000}"/>
    <cellStyle name="Normal 12 2 3 7 2" xfId="13100" xr:uid="{E8D61869-11B2-49F6-A2F1-9D515F66EC22}"/>
    <cellStyle name="Normal 12 2 3 8" xfId="8882" xr:uid="{E70065B1-D4D0-4391-ABAC-9088DA40BC5D}"/>
    <cellStyle name="Normal 12 2 4" xfId="762" xr:uid="{00000000-0005-0000-0000-00000A0E0000}"/>
    <cellStyle name="Normal 12 2 4 2" xfId="3003" xr:uid="{00000000-0005-0000-0000-00000B0E0000}"/>
    <cellStyle name="Normal 12 2 4 2 2" xfId="7227" xr:uid="{00000000-0005-0000-0000-00000C0E0000}"/>
    <cellStyle name="Normal 12 2 4 2 2 2" xfId="15656" xr:uid="{8F65F589-FE39-4F7B-9E8B-7199912B10EB}"/>
    <cellStyle name="Normal 12 2 4 2 3" xfId="11438" xr:uid="{E824086B-C304-4D5C-9281-FFEC8001F7AD}"/>
    <cellStyle name="Normal 12 2 4 3" xfId="5082" xr:uid="{00000000-0005-0000-0000-00000D0E0000}"/>
    <cellStyle name="Normal 12 2 4 3 2" xfId="13511" xr:uid="{3871E794-6C41-4BB4-AC6C-9BFEBAFFE29E}"/>
    <cellStyle name="Normal 12 2 4 4" xfId="9293" xr:uid="{34F098D4-DAC4-473E-AF2E-02D5C509EEE3}"/>
    <cellStyle name="Normal 12 2 5" xfId="1185" xr:uid="{00000000-0005-0000-0000-00000E0E0000}"/>
    <cellStyle name="Normal 12 2 5 2" xfId="3416" xr:uid="{00000000-0005-0000-0000-00000F0E0000}"/>
    <cellStyle name="Normal 12 2 5 2 2" xfId="7640" xr:uid="{00000000-0005-0000-0000-0000100E0000}"/>
    <cellStyle name="Normal 12 2 5 2 2 2" xfId="16069" xr:uid="{C85C5BA7-B53E-4B54-BF59-03A86D157ED6}"/>
    <cellStyle name="Normal 12 2 5 2 3" xfId="11851" xr:uid="{C1D8A328-068E-4C0D-A1DA-633C8A2B0AE1}"/>
    <cellStyle name="Normal 12 2 5 3" xfId="5495" xr:uid="{00000000-0005-0000-0000-0000110E0000}"/>
    <cellStyle name="Normal 12 2 5 3 2" xfId="13924" xr:uid="{5D0B4BA4-C1CA-4378-B8A4-9CDCFD05F70E}"/>
    <cellStyle name="Normal 12 2 5 4" xfId="9706" xr:uid="{861BFBF4-6083-4FF2-A028-3C31FD519E40}"/>
    <cellStyle name="Normal 12 2 6" xfId="1599" xr:uid="{00000000-0005-0000-0000-0000120E0000}"/>
    <cellStyle name="Normal 12 2 6 2" xfId="3829" xr:uid="{00000000-0005-0000-0000-0000130E0000}"/>
    <cellStyle name="Normal 12 2 6 2 2" xfId="8053" xr:uid="{00000000-0005-0000-0000-0000140E0000}"/>
    <cellStyle name="Normal 12 2 6 2 2 2" xfId="16482" xr:uid="{FE9B2854-AADB-4658-8FE2-89A1BFCA9A27}"/>
    <cellStyle name="Normal 12 2 6 2 3" xfId="12264" xr:uid="{71B6B9AD-BF44-40F4-8E98-2294EA4AA236}"/>
    <cellStyle name="Normal 12 2 6 3" xfId="5908" xr:uid="{00000000-0005-0000-0000-0000150E0000}"/>
    <cellStyle name="Normal 12 2 6 3 2" xfId="14337" xr:uid="{0A58CD6E-7BD7-445A-BE89-A36DFA911605}"/>
    <cellStyle name="Normal 12 2 6 4" xfId="10119" xr:uid="{CF06F984-C6C9-4C5F-8507-F9EC05FB0E3D}"/>
    <cellStyle name="Normal 12 2 7" xfId="2013" xr:uid="{00000000-0005-0000-0000-0000160E0000}"/>
    <cellStyle name="Normal 12 2 7 2" xfId="4242" xr:uid="{00000000-0005-0000-0000-0000170E0000}"/>
    <cellStyle name="Normal 12 2 7 2 2" xfId="8466" xr:uid="{00000000-0005-0000-0000-0000180E0000}"/>
    <cellStyle name="Normal 12 2 7 2 2 2" xfId="16895" xr:uid="{6D06D0D6-023B-40DD-BD8C-D859B972FEA0}"/>
    <cellStyle name="Normal 12 2 7 2 3" xfId="12677" xr:uid="{3D86482A-2F7B-4651-B56C-11C31C61AFAD}"/>
    <cellStyle name="Normal 12 2 7 3" xfId="6321" xr:uid="{00000000-0005-0000-0000-0000190E0000}"/>
    <cellStyle name="Normal 12 2 7 3 2" xfId="14750" xr:uid="{2B0D063D-D436-4A18-A4B0-0C0549225ACE}"/>
    <cellStyle name="Normal 12 2 7 4" xfId="10532" xr:uid="{CF55DCAB-A668-452F-8799-E048DAFA7424}"/>
    <cellStyle name="Normal 12 2 8" xfId="2449" xr:uid="{00000000-0005-0000-0000-00001A0E0000}"/>
    <cellStyle name="Normal 12 2 8 2" xfId="6734" xr:uid="{00000000-0005-0000-0000-00001B0E0000}"/>
    <cellStyle name="Normal 12 2 8 2 2" xfId="15163" xr:uid="{AF991AA7-2D04-47AD-B5F4-30E08ECB5095}"/>
    <cellStyle name="Normal 12 2 8 3" xfId="10945" xr:uid="{EEB47BB1-B959-4137-B4E9-EB4A15275718}"/>
    <cellStyle name="Normal 12 2 9" xfId="4668" xr:uid="{00000000-0005-0000-0000-00001C0E0000}"/>
    <cellStyle name="Normal 12 2 9 2" xfId="13097" xr:uid="{8AF0B7C4-979D-4C07-9306-C4DD4BC59B59}"/>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2 2" xfId="15661" xr:uid="{0752BC8B-136A-41F6-9B94-28E246275C52}"/>
    <cellStyle name="Normal 12 3 2 2 2 3" xfId="11443" xr:uid="{B973AFFD-56E2-40E0-91A3-C0EB75B61E98}"/>
    <cellStyle name="Normal 12 3 2 2 3" xfId="5087" xr:uid="{00000000-0005-0000-0000-0000220E0000}"/>
    <cellStyle name="Normal 12 3 2 2 3 2" xfId="13516" xr:uid="{6370FB83-C295-4129-8BEF-CD90566569B9}"/>
    <cellStyle name="Normal 12 3 2 2 4" xfId="9298" xr:uid="{5499498B-68C0-47C4-9720-1D5836B69614}"/>
    <cellStyle name="Normal 12 3 2 3" xfId="1190" xr:uid="{00000000-0005-0000-0000-0000230E0000}"/>
    <cellStyle name="Normal 12 3 2 3 2" xfId="3421" xr:uid="{00000000-0005-0000-0000-0000240E0000}"/>
    <cellStyle name="Normal 12 3 2 3 2 2" xfId="7645" xr:uid="{00000000-0005-0000-0000-0000250E0000}"/>
    <cellStyle name="Normal 12 3 2 3 2 2 2" xfId="16074" xr:uid="{4F7A8E76-880F-4717-A729-1CE9B30E1959}"/>
    <cellStyle name="Normal 12 3 2 3 2 3" xfId="11856" xr:uid="{F5B7D11A-1B61-48A1-A5B2-25AB47DE1925}"/>
    <cellStyle name="Normal 12 3 2 3 3" xfId="5500" xr:uid="{00000000-0005-0000-0000-0000260E0000}"/>
    <cellStyle name="Normal 12 3 2 3 3 2" xfId="13929" xr:uid="{E5F5AC56-3F6D-4BB2-853F-2EAB703F2E93}"/>
    <cellStyle name="Normal 12 3 2 3 4" xfId="9711" xr:uid="{B97494DD-55D8-4274-BC8D-AC14454D09B7}"/>
    <cellStyle name="Normal 12 3 2 4" xfId="1604" xr:uid="{00000000-0005-0000-0000-0000270E0000}"/>
    <cellStyle name="Normal 12 3 2 4 2" xfId="3834" xr:uid="{00000000-0005-0000-0000-0000280E0000}"/>
    <cellStyle name="Normal 12 3 2 4 2 2" xfId="8058" xr:uid="{00000000-0005-0000-0000-0000290E0000}"/>
    <cellStyle name="Normal 12 3 2 4 2 2 2" xfId="16487" xr:uid="{95C1AE78-C242-4BBD-9832-DB9571FDC4A5}"/>
    <cellStyle name="Normal 12 3 2 4 2 3" xfId="12269" xr:uid="{F9727EBF-AABF-44D8-B9EE-26AB1FBA0CA5}"/>
    <cellStyle name="Normal 12 3 2 4 3" xfId="5913" xr:uid="{00000000-0005-0000-0000-00002A0E0000}"/>
    <cellStyle name="Normal 12 3 2 4 3 2" xfId="14342" xr:uid="{426BA61E-BF6C-4CE4-B596-AC60F1F75A43}"/>
    <cellStyle name="Normal 12 3 2 4 4" xfId="10124" xr:uid="{AA7DE8F0-FA8E-452A-A108-590402B08DF3}"/>
    <cellStyle name="Normal 12 3 2 5" xfId="2018" xr:uid="{00000000-0005-0000-0000-00002B0E0000}"/>
    <cellStyle name="Normal 12 3 2 5 2" xfId="4247" xr:uid="{00000000-0005-0000-0000-00002C0E0000}"/>
    <cellStyle name="Normal 12 3 2 5 2 2" xfId="8471" xr:uid="{00000000-0005-0000-0000-00002D0E0000}"/>
    <cellStyle name="Normal 12 3 2 5 2 2 2" xfId="16900" xr:uid="{E75AD2C8-3F2F-42F1-8787-0ECDDB8AC0AE}"/>
    <cellStyle name="Normal 12 3 2 5 2 3" xfId="12682" xr:uid="{E3137712-BE23-4327-B0FC-0FB0FE377743}"/>
    <cellStyle name="Normal 12 3 2 5 3" xfId="6326" xr:uid="{00000000-0005-0000-0000-00002E0E0000}"/>
    <cellStyle name="Normal 12 3 2 5 3 2" xfId="14755" xr:uid="{78BCE366-4204-4618-B590-0501DED39A6C}"/>
    <cellStyle name="Normal 12 3 2 5 4" xfId="10537" xr:uid="{9FD3DBC0-47BD-4262-A700-C2D8BD3B7E9F}"/>
    <cellStyle name="Normal 12 3 2 6" xfId="2454" xr:uid="{00000000-0005-0000-0000-00002F0E0000}"/>
    <cellStyle name="Normal 12 3 2 6 2" xfId="6739" xr:uid="{00000000-0005-0000-0000-0000300E0000}"/>
    <cellStyle name="Normal 12 3 2 6 2 2" xfId="15168" xr:uid="{5AA0A929-6DE4-4EA6-9D1C-2D94712F16BA}"/>
    <cellStyle name="Normal 12 3 2 6 3" xfId="10950" xr:uid="{9F3A44A9-E409-4139-830E-2E0B480F1A2A}"/>
    <cellStyle name="Normal 12 3 2 7" xfId="4673" xr:uid="{00000000-0005-0000-0000-0000310E0000}"/>
    <cellStyle name="Normal 12 3 2 7 2" xfId="13102" xr:uid="{4A59C24D-D2DB-4F68-B6C6-2EABB2CE58B7}"/>
    <cellStyle name="Normal 12 3 2 8" xfId="8884" xr:uid="{8309AF72-4BB0-427A-9FF1-2DD49B999224}"/>
    <cellStyle name="Normal 12 3 3" xfId="766" xr:uid="{00000000-0005-0000-0000-0000320E0000}"/>
    <cellStyle name="Normal 12 3 3 2" xfId="3007" xr:uid="{00000000-0005-0000-0000-0000330E0000}"/>
    <cellStyle name="Normal 12 3 3 2 2" xfId="7231" xr:uid="{00000000-0005-0000-0000-0000340E0000}"/>
    <cellStyle name="Normal 12 3 3 2 2 2" xfId="15660" xr:uid="{ABAD36F0-0AC2-4F87-9E05-47561AE7FEEE}"/>
    <cellStyle name="Normal 12 3 3 2 3" xfId="11442" xr:uid="{3DB59C83-11DC-4A0B-9103-86E1353AED0A}"/>
    <cellStyle name="Normal 12 3 3 3" xfId="5086" xr:uid="{00000000-0005-0000-0000-0000350E0000}"/>
    <cellStyle name="Normal 12 3 3 3 2" xfId="13515" xr:uid="{55195969-C7A4-4569-AC43-B1C2F20DBA3A}"/>
    <cellStyle name="Normal 12 3 3 4" xfId="9297" xr:uid="{0A558884-6096-4880-86D3-8477A60BA5BE}"/>
    <cellStyle name="Normal 12 3 4" xfId="1189" xr:uid="{00000000-0005-0000-0000-0000360E0000}"/>
    <cellStyle name="Normal 12 3 4 2" xfId="3420" xr:uid="{00000000-0005-0000-0000-0000370E0000}"/>
    <cellStyle name="Normal 12 3 4 2 2" xfId="7644" xr:uid="{00000000-0005-0000-0000-0000380E0000}"/>
    <cellStyle name="Normal 12 3 4 2 2 2" xfId="16073" xr:uid="{B573EC11-7399-426F-A593-16E0D7A7E434}"/>
    <cellStyle name="Normal 12 3 4 2 3" xfId="11855" xr:uid="{C4E87608-98CA-4B3E-9809-7CEC6671602A}"/>
    <cellStyle name="Normal 12 3 4 3" xfId="5499" xr:uid="{00000000-0005-0000-0000-0000390E0000}"/>
    <cellStyle name="Normal 12 3 4 3 2" xfId="13928" xr:uid="{7DA3544E-E5D2-4DBA-9CCB-20398E33EB66}"/>
    <cellStyle name="Normal 12 3 4 4" xfId="9710" xr:uid="{04CC8D5D-6C37-4C3E-98E2-58E1998D613B}"/>
    <cellStyle name="Normal 12 3 5" xfId="1603" xr:uid="{00000000-0005-0000-0000-00003A0E0000}"/>
    <cellStyle name="Normal 12 3 5 2" xfId="3833" xr:uid="{00000000-0005-0000-0000-00003B0E0000}"/>
    <cellStyle name="Normal 12 3 5 2 2" xfId="8057" xr:uid="{00000000-0005-0000-0000-00003C0E0000}"/>
    <cellStyle name="Normal 12 3 5 2 2 2" xfId="16486" xr:uid="{AA3B33F2-E6EA-4849-AFEF-6544E418F276}"/>
    <cellStyle name="Normal 12 3 5 2 3" xfId="12268" xr:uid="{5E47E048-933D-43C7-B526-6D7297E5063F}"/>
    <cellStyle name="Normal 12 3 5 3" xfId="5912" xr:uid="{00000000-0005-0000-0000-00003D0E0000}"/>
    <cellStyle name="Normal 12 3 5 3 2" xfId="14341" xr:uid="{6E7E2ECC-A5B9-459E-BA02-44A2F1A6385B}"/>
    <cellStyle name="Normal 12 3 5 4" xfId="10123" xr:uid="{4CBDE68B-5E3F-4DF1-B7E7-9BA1D8F8AA83}"/>
    <cellStyle name="Normal 12 3 6" xfId="2017" xr:uid="{00000000-0005-0000-0000-00003E0E0000}"/>
    <cellStyle name="Normal 12 3 6 2" xfId="4246" xr:uid="{00000000-0005-0000-0000-00003F0E0000}"/>
    <cellStyle name="Normal 12 3 6 2 2" xfId="8470" xr:uid="{00000000-0005-0000-0000-0000400E0000}"/>
    <cellStyle name="Normal 12 3 6 2 2 2" xfId="16899" xr:uid="{83788D80-515E-470C-8884-F8D9C7474457}"/>
    <cellStyle name="Normal 12 3 6 2 3" xfId="12681" xr:uid="{F8F67D3A-92F9-472C-AAAE-67AE4F0028D7}"/>
    <cellStyle name="Normal 12 3 6 3" xfId="6325" xr:uid="{00000000-0005-0000-0000-0000410E0000}"/>
    <cellStyle name="Normal 12 3 6 3 2" xfId="14754" xr:uid="{BAA65D8E-D423-4E87-9611-C07EB7D64741}"/>
    <cellStyle name="Normal 12 3 6 4" xfId="10536" xr:uid="{56FBCF35-C857-415F-B6AD-6714FB23C106}"/>
    <cellStyle name="Normal 12 3 7" xfId="2453" xr:uid="{00000000-0005-0000-0000-0000420E0000}"/>
    <cellStyle name="Normal 12 3 7 2" xfId="6738" xr:uid="{00000000-0005-0000-0000-0000430E0000}"/>
    <cellStyle name="Normal 12 3 7 2 2" xfId="15167" xr:uid="{69A154B1-0AF5-46CC-8770-C08C269537B5}"/>
    <cellStyle name="Normal 12 3 7 3" xfId="10949" xr:uid="{DA3656B3-3193-4DB6-BE3C-6D8C091411D1}"/>
    <cellStyle name="Normal 12 3 8" xfId="4672" xr:uid="{00000000-0005-0000-0000-0000440E0000}"/>
    <cellStyle name="Normal 12 3 8 2" xfId="13101" xr:uid="{F811CE47-8FF4-439D-B263-699473ECD082}"/>
    <cellStyle name="Normal 12 3 9" xfId="8883" xr:uid="{AABF9658-09F7-4354-BC66-9A4429D46FB8}"/>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2 2" xfId="15662" xr:uid="{58FB36AF-5661-4908-B9C5-6DA6B206B1ED}"/>
    <cellStyle name="Normal 12 4 2 2 3" xfId="11444" xr:uid="{7746FE94-0BC4-47B5-A188-EE4D0A0F547B}"/>
    <cellStyle name="Normal 12 4 2 3" xfId="5088" xr:uid="{00000000-0005-0000-0000-0000490E0000}"/>
    <cellStyle name="Normal 12 4 2 3 2" xfId="13517" xr:uid="{51A01BB3-00A0-455E-8A1B-1A7A2297D9B3}"/>
    <cellStyle name="Normal 12 4 2 4" xfId="9299" xr:uid="{C8021D0C-3FE7-4DAA-B51B-89CB7EB31A83}"/>
    <cellStyle name="Normal 12 4 3" xfId="1191" xr:uid="{00000000-0005-0000-0000-00004A0E0000}"/>
    <cellStyle name="Normal 12 4 3 2" xfId="3422" xr:uid="{00000000-0005-0000-0000-00004B0E0000}"/>
    <cellStyle name="Normal 12 4 3 2 2" xfId="7646" xr:uid="{00000000-0005-0000-0000-00004C0E0000}"/>
    <cellStyle name="Normal 12 4 3 2 2 2" xfId="16075" xr:uid="{050C1D40-B914-47BA-A8D5-D6711C8A2C51}"/>
    <cellStyle name="Normal 12 4 3 2 3" xfId="11857" xr:uid="{ECEF06C5-CCBD-4C1C-A967-727287D9406D}"/>
    <cellStyle name="Normal 12 4 3 3" xfId="5501" xr:uid="{00000000-0005-0000-0000-00004D0E0000}"/>
    <cellStyle name="Normal 12 4 3 3 2" xfId="13930" xr:uid="{9F18E5CE-6CCF-414D-A36D-27569CFEF461}"/>
    <cellStyle name="Normal 12 4 3 4" xfId="9712" xr:uid="{42F62F20-65B3-4ADC-A202-9C366635AD6D}"/>
    <cellStyle name="Normal 12 4 4" xfId="1605" xr:uid="{00000000-0005-0000-0000-00004E0E0000}"/>
    <cellStyle name="Normal 12 4 4 2" xfId="3835" xr:uid="{00000000-0005-0000-0000-00004F0E0000}"/>
    <cellStyle name="Normal 12 4 4 2 2" xfId="8059" xr:uid="{00000000-0005-0000-0000-0000500E0000}"/>
    <cellStyle name="Normal 12 4 4 2 2 2" xfId="16488" xr:uid="{6E332BBA-B51B-40F9-B027-80F1415B03FD}"/>
    <cellStyle name="Normal 12 4 4 2 3" xfId="12270" xr:uid="{A3A71B30-5C21-4EC1-A7F6-343C1F591481}"/>
    <cellStyle name="Normal 12 4 4 3" xfId="5914" xr:uid="{00000000-0005-0000-0000-0000510E0000}"/>
    <cellStyle name="Normal 12 4 4 3 2" xfId="14343" xr:uid="{C760A19E-E308-49F7-8082-B0C023F6D647}"/>
    <cellStyle name="Normal 12 4 4 4" xfId="10125" xr:uid="{126DA0CB-A5AF-460F-AEF0-617FCDA3EF81}"/>
    <cellStyle name="Normal 12 4 5" xfId="2019" xr:uid="{00000000-0005-0000-0000-0000520E0000}"/>
    <cellStyle name="Normal 12 4 5 2" xfId="4248" xr:uid="{00000000-0005-0000-0000-0000530E0000}"/>
    <cellStyle name="Normal 12 4 5 2 2" xfId="8472" xr:uid="{00000000-0005-0000-0000-0000540E0000}"/>
    <cellStyle name="Normal 12 4 5 2 2 2" xfId="16901" xr:uid="{4CEC5442-C29E-486F-ACB4-D3847BA121D1}"/>
    <cellStyle name="Normal 12 4 5 2 3" xfId="12683" xr:uid="{402B47E8-236E-45F2-AC09-29B4038982EA}"/>
    <cellStyle name="Normal 12 4 5 3" xfId="6327" xr:uid="{00000000-0005-0000-0000-0000550E0000}"/>
    <cellStyle name="Normal 12 4 5 3 2" xfId="14756" xr:uid="{5895EA0D-3AB1-4AD3-9097-C44854E8EE16}"/>
    <cellStyle name="Normal 12 4 5 4" xfId="10538" xr:uid="{0FA61336-0495-41E6-BEF6-BFB339E1AC7D}"/>
    <cellStyle name="Normal 12 4 6" xfId="2455" xr:uid="{00000000-0005-0000-0000-0000560E0000}"/>
    <cellStyle name="Normal 12 4 6 2" xfId="6740" xr:uid="{00000000-0005-0000-0000-0000570E0000}"/>
    <cellStyle name="Normal 12 4 6 2 2" xfId="15169" xr:uid="{FE63D6E0-9588-403E-BEA1-DE81D4355E22}"/>
    <cellStyle name="Normal 12 4 6 3" xfId="10951" xr:uid="{E7277395-E0A0-438E-A94C-15769A1D5AB9}"/>
    <cellStyle name="Normal 12 4 7" xfId="4674" xr:uid="{00000000-0005-0000-0000-0000580E0000}"/>
    <cellStyle name="Normal 12 4 7 2" xfId="13103" xr:uid="{F6658612-F4BD-4EFF-9A5B-5EF4A65C93A4}"/>
    <cellStyle name="Normal 12 4 8" xfId="8885" xr:uid="{22C3E8D9-A1BD-49E9-A5A4-32670C55573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2 2" xfId="15655" xr:uid="{C74ECFDC-159A-4394-A97A-412C1437881A}"/>
    <cellStyle name="Normal 12 6 2 3" xfId="11437" xr:uid="{DF3723B3-4648-47BF-AD21-905AE6CDACD8}"/>
    <cellStyle name="Normal 12 6 3" xfId="5081" xr:uid="{00000000-0005-0000-0000-00005D0E0000}"/>
    <cellStyle name="Normal 12 6 3 2" xfId="13510" xr:uid="{FBE1D196-311C-4424-BA94-41FF80FDF17C}"/>
    <cellStyle name="Normal 12 6 4" xfId="9292" xr:uid="{AC4F0CEA-D46C-439C-B3E6-ADEDB045D3CE}"/>
    <cellStyle name="Normal 12 7" xfId="1184" xr:uid="{00000000-0005-0000-0000-00005E0E0000}"/>
    <cellStyle name="Normal 12 7 2" xfId="3415" xr:uid="{00000000-0005-0000-0000-00005F0E0000}"/>
    <cellStyle name="Normal 12 7 2 2" xfId="7639" xr:uid="{00000000-0005-0000-0000-0000600E0000}"/>
    <cellStyle name="Normal 12 7 2 2 2" xfId="16068" xr:uid="{C39DB9A0-0C6C-4072-B2C8-31667F2AFB78}"/>
    <cellStyle name="Normal 12 7 2 3" xfId="11850" xr:uid="{6ECBD74D-9E28-4EED-A294-286C54677FA2}"/>
    <cellStyle name="Normal 12 7 3" xfId="5494" xr:uid="{00000000-0005-0000-0000-0000610E0000}"/>
    <cellStyle name="Normal 12 7 3 2" xfId="13923" xr:uid="{78333E62-23DF-4E33-87DC-9C27766E741E}"/>
    <cellStyle name="Normal 12 7 4" xfId="9705" xr:uid="{43C0E41F-5FD5-4385-9554-07D34FBF1D1B}"/>
    <cellStyle name="Normal 12 8" xfId="1598" xr:uid="{00000000-0005-0000-0000-0000620E0000}"/>
    <cellStyle name="Normal 12 8 2" xfId="3828" xr:uid="{00000000-0005-0000-0000-0000630E0000}"/>
    <cellStyle name="Normal 12 8 2 2" xfId="8052" xr:uid="{00000000-0005-0000-0000-0000640E0000}"/>
    <cellStyle name="Normal 12 8 2 2 2" xfId="16481" xr:uid="{FD2AB748-69AF-4376-92EE-A8FD17A42AE8}"/>
    <cellStyle name="Normal 12 8 2 3" xfId="12263" xr:uid="{19506B65-89D7-42F2-AC71-5868FB215336}"/>
    <cellStyle name="Normal 12 8 3" xfId="5907" xr:uid="{00000000-0005-0000-0000-0000650E0000}"/>
    <cellStyle name="Normal 12 8 3 2" xfId="14336" xr:uid="{CD0FE28C-AB17-417D-89EB-1E21B4C7CB33}"/>
    <cellStyle name="Normal 12 8 4" xfId="10118" xr:uid="{BF915919-900B-443A-BB29-0E6B182952A6}"/>
    <cellStyle name="Normal 12 9" xfId="2012" xr:uid="{00000000-0005-0000-0000-0000660E0000}"/>
    <cellStyle name="Normal 12 9 2" xfId="4241" xr:uid="{00000000-0005-0000-0000-0000670E0000}"/>
    <cellStyle name="Normal 12 9 2 2" xfId="8465" xr:uid="{00000000-0005-0000-0000-0000680E0000}"/>
    <cellStyle name="Normal 12 9 2 2 2" xfId="16894" xr:uid="{042D0925-0669-4CC0-94F9-FA9E429B7DFB}"/>
    <cellStyle name="Normal 12 9 2 3" xfId="12676" xr:uid="{DBECAE1C-9EFF-43EE-8B98-F8BCE4B6F2EE}"/>
    <cellStyle name="Normal 12 9 3" xfId="6320" xr:uid="{00000000-0005-0000-0000-0000690E0000}"/>
    <cellStyle name="Normal 12 9 3 2" xfId="14749" xr:uid="{A7753225-04E7-4229-A36B-E3A13C966BA3}"/>
    <cellStyle name="Normal 12 9 4" xfId="10531" xr:uid="{B914E606-A292-4B7B-B521-54C428451E16}"/>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2 2" xfId="15663" xr:uid="{495776EA-7966-4A89-9BC5-22FCCF3745A8}"/>
    <cellStyle name="Normal 14 2 2 3" xfId="11445" xr:uid="{7E70B297-1272-4B00-86FF-823B7A8A7614}"/>
    <cellStyle name="Normal 14 2 3" xfId="5089" xr:uid="{00000000-0005-0000-0000-0000700E0000}"/>
    <cellStyle name="Normal 14 2 3 2" xfId="13518" xr:uid="{A6342BC6-D781-454A-B211-77359018A56F}"/>
    <cellStyle name="Normal 14 2 4" xfId="9300" xr:uid="{62FFADAC-D233-4C51-AE0E-A8ECD05D079E}"/>
    <cellStyle name="Normal 14 3" xfId="1192" xr:uid="{00000000-0005-0000-0000-0000710E0000}"/>
    <cellStyle name="Normal 14 3 2" xfId="3423" xr:uid="{00000000-0005-0000-0000-0000720E0000}"/>
    <cellStyle name="Normal 14 3 2 2" xfId="7647" xr:uid="{00000000-0005-0000-0000-0000730E0000}"/>
    <cellStyle name="Normal 14 3 2 2 2" xfId="16076" xr:uid="{9B259747-C356-479D-9074-CC8B87047029}"/>
    <cellStyle name="Normal 14 3 2 3" xfId="11858" xr:uid="{6E0FBA11-55E4-4CA9-84CD-78CFECDC9DC8}"/>
    <cellStyle name="Normal 14 3 3" xfId="5502" xr:uid="{00000000-0005-0000-0000-0000740E0000}"/>
    <cellStyle name="Normal 14 3 3 2" xfId="13931" xr:uid="{86C07429-F0F2-4A0E-9E2E-3644B03A24B8}"/>
    <cellStyle name="Normal 14 3 4" xfId="9713" xr:uid="{BA245119-4A97-4C1F-94E9-CF134E4C1A94}"/>
    <cellStyle name="Normal 14 4" xfId="1606" xr:uid="{00000000-0005-0000-0000-0000750E0000}"/>
    <cellStyle name="Normal 14 4 2" xfId="3836" xr:uid="{00000000-0005-0000-0000-0000760E0000}"/>
    <cellStyle name="Normal 14 4 2 2" xfId="8060" xr:uid="{00000000-0005-0000-0000-0000770E0000}"/>
    <cellStyle name="Normal 14 4 2 2 2" xfId="16489" xr:uid="{B83D5842-3EBE-4B68-A5C0-AF930DBA90C6}"/>
    <cellStyle name="Normal 14 4 2 3" xfId="12271" xr:uid="{47766D46-242A-4043-9FDC-321FA72E4E08}"/>
    <cellStyle name="Normal 14 4 3" xfId="5915" xr:uid="{00000000-0005-0000-0000-0000780E0000}"/>
    <cellStyle name="Normal 14 4 3 2" xfId="14344" xr:uid="{1B90AAD0-CE79-4502-B213-238DE45F24B1}"/>
    <cellStyle name="Normal 14 4 4" xfId="10126" xr:uid="{AEC99065-B5AF-42B7-B4D1-FA75547F32AD}"/>
    <cellStyle name="Normal 14 5" xfId="2020" xr:uid="{00000000-0005-0000-0000-0000790E0000}"/>
    <cellStyle name="Normal 14 5 2" xfId="4249" xr:uid="{00000000-0005-0000-0000-00007A0E0000}"/>
    <cellStyle name="Normal 14 5 2 2" xfId="8473" xr:uid="{00000000-0005-0000-0000-00007B0E0000}"/>
    <cellStyle name="Normal 14 5 2 2 2" xfId="16902" xr:uid="{7AA658A3-7364-49DE-BDF4-A1A681741216}"/>
    <cellStyle name="Normal 14 5 2 3" xfId="12684" xr:uid="{79886FB2-280A-4FBF-808C-D85EA0C1D7CF}"/>
    <cellStyle name="Normal 14 5 3" xfId="6328" xr:uid="{00000000-0005-0000-0000-00007C0E0000}"/>
    <cellStyle name="Normal 14 5 3 2" xfId="14757" xr:uid="{47143E9A-3CDA-4CF8-BAE5-E3938F2EA264}"/>
    <cellStyle name="Normal 14 5 4" xfId="10539" xr:uid="{E491A5FF-439A-434B-B48B-D6976778482B}"/>
    <cellStyle name="Normal 14 6" xfId="2456" xr:uid="{00000000-0005-0000-0000-00007D0E0000}"/>
    <cellStyle name="Normal 14 6 2" xfId="6741" xr:uid="{00000000-0005-0000-0000-00007E0E0000}"/>
    <cellStyle name="Normal 14 6 2 2" xfId="15170" xr:uid="{EA13383A-84DC-4E34-BFB4-745C7D0608C6}"/>
    <cellStyle name="Normal 14 6 3" xfId="10952" xr:uid="{BEA030BB-9C02-441A-B0AC-D0BA55FC1AD9}"/>
    <cellStyle name="Normal 14 7" xfId="4675" xr:uid="{00000000-0005-0000-0000-00007F0E0000}"/>
    <cellStyle name="Normal 14 7 2" xfId="13104" xr:uid="{05AAA473-6FF7-4820-AD56-A0794A8C1E75}"/>
    <cellStyle name="Normal 14 8" xfId="8886" xr:uid="{63C2C787-643A-4850-9723-576010B59401}"/>
    <cellStyle name="Normal 15" xfId="4497" xr:uid="{00000000-0005-0000-0000-0000800E0000}"/>
    <cellStyle name="Normal 15 2" xfId="12930" xr:uid="{AFB0706C-07D0-4D8A-B462-04CD1C50AB0F}"/>
    <cellStyle name="Normal 16" xfId="4501" xr:uid="{00000000-0005-0000-0000-0000810E0000}"/>
    <cellStyle name="Normal 16 2" xfId="12933" xr:uid="{BBA682C7-C12E-4551-A4A4-691A6C885EF5}"/>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2 2" xfId="16903" xr:uid="{CC4B8F6C-FD5C-4F23-8544-A75BDBF5F5B4}"/>
    <cellStyle name="Normal 2 4 2 10 2 3" xfId="12685" xr:uid="{46C0C9C8-2A19-4150-BE31-68EED65BCA78}"/>
    <cellStyle name="Normal 2 4 2 10 3" xfId="6329" xr:uid="{00000000-0005-0000-0000-0000900E0000}"/>
    <cellStyle name="Normal 2 4 2 10 3 2" xfId="14758" xr:uid="{09F55B40-36B1-42E8-BF5E-9218E6EEFDB6}"/>
    <cellStyle name="Normal 2 4 2 10 4" xfId="10540" xr:uid="{87876E52-79F3-4C88-AB34-E03B0C2E3B94}"/>
    <cellStyle name="Normal 2 4 2 11" xfId="2457" xr:uid="{00000000-0005-0000-0000-0000910E0000}"/>
    <cellStyle name="Normal 2 4 2 11 2" xfId="6742" xr:uid="{00000000-0005-0000-0000-0000920E0000}"/>
    <cellStyle name="Normal 2 4 2 11 2 2" xfId="15171" xr:uid="{21672B4C-0CEF-493E-9745-436FA4D31665}"/>
    <cellStyle name="Normal 2 4 2 11 3" xfId="10953" xr:uid="{9DD70503-2FE7-48B9-B263-9D644A3BB7E0}"/>
    <cellStyle name="Normal 2 4 2 12" xfId="4676" xr:uid="{00000000-0005-0000-0000-0000930E0000}"/>
    <cellStyle name="Normal 2 4 2 12 2" xfId="13105" xr:uid="{DC3F3271-37DA-4DF8-93F6-70243252AB9E}"/>
    <cellStyle name="Normal 2 4 2 13" xfId="8887" xr:uid="{C2543D67-A2AE-42F2-9104-AE3E3992C791}"/>
    <cellStyle name="Normal 2 4 2 2" xfId="280" xr:uid="{00000000-0005-0000-0000-0000940E0000}"/>
    <cellStyle name="Normal 2 4 2 3" xfId="281" xr:uid="{00000000-0005-0000-0000-0000950E0000}"/>
    <cellStyle name="Normal 2 4 2 3 10" xfId="4677" xr:uid="{00000000-0005-0000-0000-0000960E0000}"/>
    <cellStyle name="Normal 2 4 2 3 10 2" xfId="13106" xr:uid="{87231BD3-F011-4D63-9B29-50C9005D8539}"/>
    <cellStyle name="Normal 2 4 2 3 11" xfId="8888" xr:uid="{3957D9E9-BB46-424C-9186-14F1D31E0F10}"/>
    <cellStyle name="Normal 2 4 2 3 2" xfId="282" xr:uid="{00000000-0005-0000-0000-0000970E0000}"/>
    <cellStyle name="Normal 2 4 2 3 2 10" xfId="8889" xr:uid="{37727E7B-0858-431D-B19F-3A248946B9F7}"/>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2 2" xfId="15668" xr:uid="{2AB95D84-304F-46F4-8E90-500113DE3F1E}"/>
    <cellStyle name="Normal 2 4 2 3 2 2 2 2 2 3" xfId="11450" xr:uid="{F7A24FD0-940C-4922-A771-A47538CD5EF6}"/>
    <cellStyle name="Normal 2 4 2 3 2 2 2 2 3" xfId="5094" xr:uid="{00000000-0005-0000-0000-00009D0E0000}"/>
    <cellStyle name="Normal 2 4 2 3 2 2 2 2 3 2" xfId="13523" xr:uid="{FB8532EB-FDB2-4436-B7C1-A5424C9E2DA0}"/>
    <cellStyle name="Normal 2 4 2 3 2 2 2 2 4" xfId="9305" xr:uid="{60DFBD83-FF98-494A-8FB6-07E66CD04585}"/>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2 2" xfId="16081" xr:uid="{1B8CC607-BC5E-40F3-861F-74E59ED8311A}"/>
    <cellStyle name="Normal 2 4 2 3 2 2 2 3 2 3" xfId="11863" xr:uid="{1015C475-34E3-494F-A267-4ED5E854D193}"/>
    <cellStyle name="Normal 2 4 2 3 2 2 2 3 3" xfId="5507" xr:uid="{00000000-0005-0000-0000-0000A10E0000}"/>
    <cellStyle name="Normal 2 4 2 3 2 2 2 3 3 2" xfId="13936" xr:uid="{73336F50-9E3B-4326-82AD-1C59123239F1}"/>
    <cellStyle name="Normal 2 4 2 3 2 2 2 3 4" xfId="9718" xr:uid="{018C6735-5F47-4DDD-A45D-13CF4103C4C3}"/>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2 2" xfId="16494" xr:uid="{2982C9EB-0DEE-4B74-BF5C-63EE53B4CD79}"/>
    <cellStyle name="Normal 2 4 2 3 2 2 2 4 2 3" xfId="12276" xr:uid="{7F8EE8BF-1F2D-49F4-BF51-F8BB5F510E84}"/>
    <cellStyle name="Normal 2 4 2 3 2 2 2 4 3" xfId="5920" xr:uid="{00000000-0005-0000-0000-0000A50E0000}"/>
    <cellStyle name="Normal 2 4 2 3 2 2 2 4 3 2" xfId="14349" xr:uid="{FAB82F09-2E0C-496C-9BF1-39C4E3814699}"/>
    <cellStyle name="Normal 2 4 2 3 2 2 2 4 4" xfId="10131" xr:uid="{B1E0615E-2A63-4E7D-9BB8-8DAA925231D4}"/>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2 2" xfId="16907" xr:uid="{9B99044C-6D5F-4EAB-9164-E08ED5C52C55}"/>
    <cellStyle name="Normal 2 4 2 3 2 2 2 5 2 3" xfId="12689" xr:uid="{70788354-CA16-4173-A840-50FCE927A7AB}"/>
    <cellStyle name="Normal 2 4 2 3 2 2 2 5 3" xfId="6333" xr:uid="{00000000-0005-0000-0000-0000A90E0000}"/>
    <cellStyle name="Normal 2 4 2 3 2 2 2 5 3 2" xfId="14762" xr:uid="{06DF269E-9743-4637-8A15-94539856A311}"/>
    <cellStyle name="Normal 2 4 2 3 2 2 2 5 4" xfId="10544" xr:uid="{04B1BBE2-055D-4EEE-A87F-95E5CDD5ED52}"/>
    <cellStyle name="Normal 2 4 2 3 2 2 2 6" xfId="2461" xr:uid="{00000000-0005-0000-0000-0000AA0E0000}"/>
    <cellStyle name="Normal 2 4 2 3 2 2 2 6 2" xfId="6746" xr:uid="{00000000-0005-0000-0000-0000AB0E0000}"/>
    <cellStyle name="Normal 2 4 2 3 2 2 2 6 2 2" xfId="15175" xr:uid="{B181177B-AFA6-4C6F-9003-C64387B6806E}"/>
    <cellStyle name="Normal 2 4 2 3 2 2 2 6 3" xfId="10957" xr:uid="{54E6E75C-E2D9-44A2-BFFF-20EB15CA7E78}"/>
    <cellStyle name="Normal 2 4 2 3 2 2 2 7" xfId="4680" xr:uid="{00000000-0005-0000-0000-0000AC0E0000}"/>
    <cellStyle name="Normal 2 4 2 3 2 2 2 7 2" xfId="13109" xr:uid="{742AABB3-16BD-4361-B94D-913011D967BC}"/>
    <cellStyle name="Normal 2 4 2 3 2 2 2 8" xfId="8891" xr:uid="{546D32B9-6372-44B5-9BDB-CF9AD5754E84}"/>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2 2" xfId="15667" xr:uid="{EF96481C-F465-4BCE-859D-F6503B3F9834}"/>
    <cellStyle name="Normal 2 4 2 3 2 2 3 2 3" xfId="11449" xr:uid="{197B17E7-2CB2-44C4-9D0C-5E1C920709E3}"/>
    <cellStyle name="Normal 2 4 2 3 2 2 3 3" xfId="5093" xr:uid="{00000000-0005-0000-0000-0000B00E0000}"/>
    <cellStyle name="Normal 2 4 2 3 2 2 3 3 2" xfId="13522" xr:uid="{F1747BAC-01B6-43E4-9FC4-FB2EA4DDB6F9}"/>
    <cellStyle name="Normal 2 4 2 3 2 2 3 4" xfId="9304" xr:uid="{6AB09F89-BA41-41C7-9BC8-77C81BD7DDDB}"/>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2 2" xfId="16080" xr:uid="{DC02EC04-7934-41C2-9319-723DE5C61D0D}"/>
    <cellStyle name="Normal 2 4 2 3 2 2 4 2 3" xfId="11862" xr:uid="{14810B2D-91F4-4D7D-BB67-6D842BC4ABC9}"/>
    <cellStyle name="Normal 2 4 2 3 2 2 4 3" xfId="5506" xr:uid="{00000000-0005-0000-0000-0000B40E0000}"/>
    <cellStyle name="Normal 2 4 2 3 2 2 4 3 2" xfId="13935" xr:uid="{28FD74C3-0A77-46A3-A241-6AC99A0386A5}"/>
    <cellStyle name="Normal 2 4 2 3 2 2 4 4" xfId="9717" xr:uid="{12D41B70-7C20-4FF6-B29F-165086829E63}"/>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2 2" xfId="16493" xr:uid="{87FF0ED0-4FAD-4286-9FC0-EDE0EC487C81}"/>
    <cellStyle name="Normal 2 4 2 3 2 2 5 2 3" xfId="12275" xr:uid="{1E8E0179-CB94-46AC-9ECC-D99F2390A0F0}"/>
    <cellStyle name="Normal 2 4 2 3 2 2 5 3" xfId="5919" xr:uid="{00000000-0005-0000-0000-0000B80E0000}"/>
    <cellStyle name="Normal 2 4 2 3 2 2 5 3 2" xfId="14348" xr:uid="{4F6B8847-EC7E-41EF-91CA-CD198C9A2141}"/>
    <cellStyle name="Normal 2 4 2 3 2 2 5 4" xfId="10130" xr:uid="{A29AB90D-9E34-4E6E-BCFA-1465E6D0325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2 2" xfId="16906" xr:uid="{A4B73E01-770F-48C4-82C4-6F8C05C1B8C9}"/>
    <cellStyle name="Normal 2 4 2 3 2 2 6 2 3" xfId="12688" xr:uid="{88F46984-DFD7-4C19-8854-A03839169613}"/>
    <cellStyle name="Normal 2 4 2 3 2 2 6 3" xfId="6332" xr:uid="{00000000-0005-0000-0000-0000BC0E0000}"/>
    <cellStyle name="Normal 2 4 2 3 2 2 6 3 2" xfId="14761" xr:uid="{CA3C9A17-1041-412D-966E-1614F3628AC7}"/>
    <cellStyle name="Normal 2 4 2 3 2 2 6 4" xfId="10543" xr:uid="{517761F4-FE77-46AA-95A0-CE8AD7554BFA}"/>
    <cellStyle name="Normal 2 4 2 3 2 2 7" xfId="2460" xr:uid="{00000000-0005-0000-0000-0000BD0E0000}"/>
    <cellStyle name="Normal 2 4 2 3 2 2 7 2" xfId="6745" xr:uid="{00000000-0005-0000-0000-0000BE0E0000}"/>
    <cellStyle name="Normal 2 4 2 3 2 2 7 2 2" xfId="15174" xr:uid="{7B146D32-9BF7-4522-BFBE-BE44958BC22D}"/>
    <cellStyle name="Normal 2 4 2 3 2 2 7 3" xfId="10956" xr:uid="{EA8B0862-F705-4FCA-92AE-4DCF78DEF62A}"/>
    <cellStyle name="Normal 2 4 2 3 2 2 8" xfId="4679" xr:uid="{00000000-0005-0000-0000-0000BF0E0000}"/>
    <cellStyle name="Normal 2 4 2 3 2 2 8 2" xfId="13108" xr:uid="{1096AB5C-B1AF-40FC-931E-2334D1BFD3B9}"/>
    <cellStyle name="Normal 2 4 2 3 2 2 9" xfId="8890" xr:uid="{BFFD4200-0C2E-4BB4-ADE0-F6A67AF45D87}"/>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2 2" xfId="15669" xr:uid="{3ADA0BB2-0DC0-42D2-85AF-DA95C1DF555B}"/>
    <cellStyle name="Normal 2 4 2 3 2 3 2 2 3" xfId="11451" xr:uid="{D3447B6B-293E-4E7C-B076-93F2CAEEC4FE}"/>
    <cellStyle name="Normal 2 4 2 3 2 3 2 3" xfId="5095" xr:uid="{00000000-0005-0000-0000-0000C40E0000}"/>
    <cellStyle name="Normal 2 4 2 3 2 3 2 3 2" xfId="13524" xr:uid="{D85D7B83-E412-4EA6-B6E5-41CDCEF771FF}"/>
    <cellStyle name="Normal 2 4 2 3 2 3 2 4" xfId="9306" xr:uid="{B4C5E3F8-1FF5-4FF4-834A-F4526B916931}"/>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2 2" xfId="16082" xr:uid="{5CA0C815-1C97-4129-B643-BF1EA62EC75E}"/>
    <cellStyle name="Normal 2 4 2 3 2 3 3 2 3" xfId="11864" xr:uid="{0FF2DB60-7CA6-45F9-ADD0-828CC005B499}"/>
    <cellStyle name="Normal 2 4 2 3 2 3 3 3" xfId="5508" xr:uid="{00000000-0005-0000-0000-0000C80E0000}"/>
    <cellStyle name="Normal 2 4 2 3 2 3 3 3 2" xfId="13937" xr:uid="{1DC65B04-EB32-46AF-A671-C1FC6DDB653F}"/>
    <cellStyle name="Normal 2 4 2 3 2 3 3 4" xfId="9719" xr:uid="{C7634093-F677-447B-AAC1-26A3BE76D588}"/>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2 2" xfId="16495" xr:uid="{4C37A278-7B6A-492C-A756-E5B1D6F5B9D6}"/>
    <cellStyle name="Normal 2 4 2 3 2 3 4 2 3" xfId="12277" xr:uid="{BD9E70CF-B1F3-44F4-B911-32B20E19C01B}"/>
    <cellStyle name="Normal 2 4 2 3 2 3 4 3" xfId="5921" xr:uid="{00000000-0005-0000-0000-0000CC0E0000}"/>
    <cellStyle name="Normal 2 4 2 3 2 3 4 3 2" xfId="14350" xr:uid="{006B0FDB-F833-4839-A260-E6F89DE46A76}"/>
    <cellStyle name="Normal 2 4 2 3 2 3 4 4" xfId="10132" xr:uid="{3A3A5BA0-C1F8-4FB0-BE30-C1417489B8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2 2" xfId="16908" xr:uid="{14F1F110-116C-4E43-859B-37F6D3FBC65E}"/>
    <cellStyle name="Normal 2 4 2 3 2 3 5 2 3" xfId="12690" xr:uid="{5733D459-FECA-40D4-9900-289907756562}"/>
    <cellStyle name="Normal 2 4 2 3 2 3 5 3" xfId="6334" xr:uid="{00000000-0005-0000-0000-0000D00E0000}"/>
    <cellStyle name="Normal 2 4 2 3 2 3 5 3 2" xfId="14763" xr:uid="{46644EFB-34B2-400E-9399-7CCBC8F499F1}"/>
    <cellStyle name="Normal 2 4 2 3 2 3 5 4" xfId="10545" xr:uid="{274D16E3-735A-40F4-9FCA-5D741B799F48}"/>
    <cellStyle name="Normal 2 4 2 3 2 3 6" xfId="2462" xr:uid="{00000000-0005-0000-0000-0000D10E0000}"/>
    <cellStyle name="Normal 2 4 2 3 2 3 6 2" xfId="6747" xr:uid="{00000000-0005-0000-0000-0000D20E0000}"/>
    <cellStyle name="Normal 2 4 2 3 2 3 6 2 2" xfId="15176" xr:uid="{863DA02F-11F0-47E3-9B99-A98FACCFD070}"/>
    <cellStyle name="Normal 2 4 2 3 2 3 6 3" xfId="10958" xr:uid="{50B79D07-6EAD-4338-95BA-68F5B2FAAABA}"/>
    <cellStyle name="Normal 2 4 2 3 2 3 7" xfId="4681" xr:uid="{00000000-0005-0000-0000-0000D30E0000}"/>
    <cellStyle name="Normal 2 4 2 3 2 3 7 2" xfId="13110" xr:uid="{2D75B2AF-2A32-4750-924D-AF7523D008F0}"/>
    <cellStyle name="Normal 2 4 2 3 2 3 8" xfId="8892" xr:uid="{BD92F0AA-7A3C-4C7D-8327-EFAEB432393B}"/>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2 2" xfId="15666" xr:uid="{C2926BCA-899F-4839-B85F-4B39D867CDBD}"/>
    <cellStyle name="Normal 2 4 2 3 2 4 2 3" xfId="11448" xr:uid="{F14B6087-E3DE-4F57-94CA-3EABB0CC4D7B}"/>
    <cellStyle name="Normal 2 4 2 3 2 4 3" xfId="5092" xr:uid="{00000000-0005-0000-0000-0000D70E0000}"/>
    <cellStyle name="Normal 2 4 2 3 2 4 3 2" xfId="13521" xr:uid="{BFC9397A-A42D-49F2-97F9-FA65AD5F3B98}"/>
    <cellStyle name="Normal 2 4 2 3 2 4 4" xfId="9303" xr:uid="{FADB6BB1-7821-48F5-9551-34526F36AD3B}"/>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2 2" xfId="16079" xr:uid="{4CE39B07-B1FD-441F-B488-186315A592CF}"/>
    <cellStyle name="Normal 2 4 2 3 2 5 2 3" xfId="11861" xr:uid="{09BFA878-FDD3-4E38-989D-8E24B0AB9637}"/>
    <cellStyle name="Normal 2 4 2 3 2 5 3" xfId="5505" xr:uid="{00000000-0005-0000-0000-0000DB0E0000}"/>
    <cellStyle name="Normal 2 4 2 3 2 5 3 2" xfId="13934" xr:uid="{80B6DC3F-6CB6-4F4A-87F7-2D72D3D235A8}"/>
    <cellStyle name="Normal 2 4 2 3 2 5 4" xfId="9716" xr:uid="{9C873252-18CF-4FEB-A1C1-6468803B04B1}"/>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2 2" xfId="16492" xr:uid="{7D4A8D0D-09E3-48D3-A550-1DFDB73C3B6A}"/>
    <cellStyle name="Normal 2 4 2 3 2 6 2 3" xfId="12274" xr:uid="{BB0F97A2-8C17-441D-83C3-1E7AA43EB801}"/>
    <cellStyle name="Normal 2 4 2 3 2 6 3" xfId="5918" xr:uid="{00000000-0005-0000-0000-0000DF0E0000}"/>
    <cellStyle name="Normal 2 4 2 3 2 6 3 2" xfId="14347" xr:uid="{0C487B04-C002-41C3-9B32-A7EFDBDCA923}"/>
    <cellStyle name="Normal 2 4 2 3 2 6 4" xfId="10129" xr:uid="{BEEF474E-788D-437B-8478-16FAC461E14E}"/>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2 2" xfId="16905" xr:uid="{34E7A354-7B6A-42BB-8F03-48C4F9674153}"/>
    <cellStyle name="Normal 2 4 2 3 2 7 2 3" xfId="12687" xr:uid="{232B2CF2-1522-45F5-B076-6A42AB92C1C3}"/>
    <cellStyle name="Normal 2 4 2 3 2 7 3" xfId="6331" xr:uid="{00000000-0005-0000-0000-0000E30E0000}"/>
    <cellStyle name="Normal 2 4 2 3 2 7 3 2" xfId="14760" xr:uid="{A8B79041-3C99-4591-8161-868E250D9973}"/>
    <cellStyle name="Normal 2 4 2 3 2 7 4" xfId="10542" xr:uid="{8973197B-D872-49EA-9D12-462A828003A6}"/>
    <cellStyle name="Normal 2 4 2 3 2 8" xfId="2459" xr:uid="{00000000-0005-0000-0000-0000E40E0000}"/>
    <cellStyle name="Normal 2 4 2 3 2 8 2" xfId="6744" xr:uid="{00000000-0005-0000-0000-0000E50E0000}"/>
    <cellStyle name="Normal 2 4 2 3 2 8 2 2" xfId="15173" xr:uid="{53EFABE6-AD73-4656-B5AD-414C85DB7CB9}"/>
    <cellStyle name="Normal 2 4 2 3 2 8 3" xfId="10955" xr:uid="{098294C8-68BD-4E15-AF78-EE89B29D80A8}"/>
    <cellStyle name="Normal 2 4 2 3 2 9" xfId="4678" xr:uid="{00000000-0005-0000-0000-0000E60E0000}"/>
    <cellStyle name="Normal 2 4 2 3 2 9 2" xfId="13107" xr:uid="{039AA08C-2ED2-420A-AAF8-225861A3630A}"/>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2 2" xfId="15671" xr:uid="{440BB9EA-FE7E-4858-AC16-FEE7644EB79C}"/>
    <cellStyle name="Normal 2 4 2 3 3 2 2 2 3" xfId="11453" xr:uid="{31432A84-1FE4-4FDB-BE2F-308E808F7280}"/>
    <cellStyle name="Normal 2 4 2 3 3 2 2 3" xfId="5097" xr:uid="{00000000-0005-0000-0000-0000EC0E0000}"/>
    <cellStyle name="Normal 2 4 2 3 3 2 2 3 2" xfId="13526" xr:uid="{87C9DFA0-922A-4134-97CB-42C9397A2B45}"/>
    <cellStyle name="Normal 2 4 2 3 3 2 2 4" xfId="9308" xr:uid="{877ACEC4-F26E-4520-856B-05EEA472DFAC}"/>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2 2" xfId="16084" xr:uid="{40B0CE7C-B4EA-4A80-95B2-C9581CA198D9}"/>
    <cellStyle name="Normal 2 4 2 3 3 2 3 2 3" xfId="11866" xr:uid="{9DA70365-E63D-4F88-B27F-D12967465B3D}"/>
    <cellStyle name="Normal 2 4 2 3 3 2 3 3" xfId="5510" xr:uid="{00000000-0005-0000-0000-0000F00E0000}"/>
    <cellStyle name="Normal 2 4 2 3 3 2 3 3 2" xfId="13939" xr:uid="{1430B0D2-55F2-48C8-812A-0BDC23871CB7}"/>
    <cellStyle name="Normal 2 4 2 3 3 2 3 4" xfId="9721" xr:uid="{17B15114-4CC2-4158-9349-76CD835A1F3F}"/>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2 2" xfId="16497" xr:uid="{8FE25F20-AF4D-4A21-AB82-8ED646B5644E}"/>
    <cellStyle name="Normal 2 4 2 3 3 2 4 2 3" xfId="12279" xr:uid="{CB76B351-D668-45E2-A74A-6D4464A0DE48}"/>
    <cellStyle name="Normal 2 4 2 3 3 2 4 3" xfId="5923" xr:uid="{00000000-0005-0000-0000-0000F40E0000}"/>
    <cellStyle name="Normal 2 4 2 3 3 2 4 3 2" xfId="14352" xr:uid="{9EBF553C-C690-4D76-B098-73F312B91557}"/>
    <cellStyle name="Normal 2 4 2 3 3 2 4 4" xfId="10134" xr:uid="{E74B3ECA-4CF8-4618-9903-837A73D47F73}"/>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2 2" xfId="16910" xr:uid="{EFB8951F-0544-4E05-A5AE-71B57FF43CDC}"/>
    <cellStyle name="Normal 2 4 2 3 3 2 5 2 3" xfId="12692" xr:uid="{5F2299F8-54E3-4F01-8588-C172EEBD27FA}"/>
    <cellStyle name="Normal 2 4 2 3 3 2 5 3" xfId="6336" xr:uid="{00000000-0005-0000-0000-0000F80E0000}"/>
    <cellStyle name="Normal 2 4 2 3 3 2 5 3 2" xfId="14765" xr:uid="{94DA48FA-086C-40A2-A2CE-F878A0735380}"/>
    <cellStyle name="Normal 2 4 2 3 3 2 5 4" xfId="10547" xr:uid="{4D96EDF8-5FB7-4554-9AE5-462351929F31}"/>
    <cellStyle name="Normal 2 4 2 3 3 2 6" xfId="2464" xr:uid="{00000000-0005-0000-0000-0000F90E0000}"/>
    <cellStyle name="Normal 2 4 2 3 3 2 6 2" xfId="6749" xr:uid="{00000000-0005-0000-0000-0000FA0E0000}"/>
    <cellStyle name="Normal 2 4 2 3 3 2 6 2 2" xfId="15178" xr:uid="{328981A4-1009-4A83-86A7-2A1DAA623D86}"/>
    <cellStyle name="Normal 2 4 2 3 3 2 6 3" xfId="10960" xr:uid="{30A3EA6F-ECDB-49AC-B0AB-D2DE0A9E6E84}"/>
    <cellStyle name="Normal 2 4 2 3 3 2 7" xfId="4683" xr:uid="{00000000-0005-0000-0000-0000FB0E0000}"/>
    <cellStyle name="Normal 2 4 2 3 3 2 7 2" xfId="13112" xr:uid="{E726A11D-BBB3-4703-9073-521E6438C523}"/>
    <cellStyle name="Normal 2 4 2 3 3 2 8" xfId="8894" xr:uid="{B99FD2B3-DD64-4D36-9F12-E7AEC899251A}"/>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2 2" xfId="15670" xr:uid="{741A7CBD-3A9F-4F47-B32A-17BB8527B864}"/>
    <cellStyle name="Normal 2 4 2 3 3 3 2 3" xfId="11452" xr:uid="{8D52F20C-3EC2-41B2-AFA4-56CEE6697114}"/>
    <cellStyle name="Normal 2 4 2 3 3 3 3" xfId="5096" xr:uid="{00000000-0005-0000-0000-0000FF0E0000}"/>
    <cellStyle name="Normal 2 4 2 3 3 3 3 2" xfId="13525" xr:uid="{72B6CCF1-33F1-42BA-895B-BF430F2454E7}"/>
    <cellStyle name="Normal 2 4 2 3 3 3 4" xfId="9307" xr:uid="{8A5C143E-4278-47BF-BEFD-E81B129ACED8}"/>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2 2" xfId="16083" xr:uid="{82DDEEAB-55B6-4144-A42C-F4B043C30041}"/>
    <cellStyle name="Normal 2 4 2 3 3 4 2 3" xfId="11865" xr:uid="{27C8F14C-EF93-4C4F-9CD0-E61604977B74}"/>
    <cellStyle name="Normal 2 4 2 3 3 4 3" xfId="5509" xr:uid="{00000000-0005-0000-0000-0000030F0000}"/>
    <cellStyle name="Normal 2 4 2 3 3 4 3 2" xfId="13938" xr:uid="{30F1CC8E-E295-43B1-8F7D-C41C795A01B4}"/>
    <cellStyle name="Normal 2 4 2 3 3 4 4" xfId="9720" xr:uid="{B50C84D9-EA57-4B3C-996F-5B52A911C166}"/>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2 2" xfId="16496" xr:uid="{26D41C9A-A135-4776-8D10-44EEE3E43EC4}"/>
    <cellStyle name="Normal 2 4 2 3 3 5 2 3" xfId="12278" xr:uid="{4DBEB0FE-7BCD-47EC-90E2-04C624F203CA}"/>
    <cellStyle name="Normal 2 4 2 3 3 5 3" xfId="5922" xr:uid="{00000000-0005-0000-0000-0000070F0000}"/>
    <cellStyle name="Normal 2 4 2 3 3 5 3 2" xfId="14351" xr:uid="{BD795E6C-465E-4101-84B6-BB245387A503}"/>
    <cellStyle name="Normal 2 4 2 3 3 5 4" xfId="10133" xr:uid="{42FB981C-FC51-44C8-B245-3C5D5BA61E2F}"/>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2 2" xfId="16909" xr:uid="{5720BDD6-D4F3-44D6-A54E-3F4AE6C0FD8F}"/>
    <cellStyle name="Normal 2 4 2 3 3 6 2 3" xfId="12691" xr:uid="{067EB649-D052-4A6E-A2CC-E078C821733F}"/>
    <cellStyle name="Normal 2 4 2 3 3 6 3" xfId="6335" xr:uid="{00000000-0005-0000-0000-00000B0F0000}"/>
    <cellStyle name="Normal 2 4 2 3 3 6 3 2" xfId="14764" xr:uid="{16907E40-9E37-4D90-93DC-7B78901A303C}"/>
    <cellStyle name="Normal 2 4 2 3 3 6 4" xfId="10546" xr:uid="{02DADB75-641D-4627-96B8-773050EDF55E}"/>
    <cellStyle name="Normal 2 4 2 3 3 7" xfId="2463" xr:uid="{00000000-0005-0000-0000-00000C0F0000}"/>
    <cellStyle name="Normal 2 4 2 3 3 7 2" xfId="6748" xr:uid="{00000000-0005-0000-0000-00000D0F0000}"/>
    <cellStyle name="Normal 2 4 2 3 3 7 2 2" xfId="15177" xr:uid="{0828F8EA-3E0E-4C87-A917-92EC31CAF3F8}"/>
    <cellStyle name="Normal 2 4 2 3 3 7 3" xfId="10959" xr:uid="{734C2533-D11C-4ACA-8CEA-4C2529305FAD}"/>
    <cellStyle name="Normal 2 4 2 3 3 8" xfId="4682" xr:uid="{00000000-0005-0000-0000-00000E0F0000}"/>
    <cellStyle name="Normal 2 4 2 3 3 8 2" xfId="13111" xr:uid="{4B1A10C0-B598-4516-AECB-7114ED49C4F0}"/>
    <cellStyle name="Normal 2 4 2 3 3 9" xfId="8893" xr:uid="{924CF254-1555-43FF-97F1-EB11DE1E4189}"/>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2 2" xfId="15672" xr:uid="{FF8CF932-36BD-4F29-870F-79968391D709}"/>
    <cellStyle name="Normal 2 4 2 3 4 2 2 3" xfId="11454" xr:uid="{0D0B275D-5017-4DA0-AE0A-3BC88C43843B}"/>
    <cellStyle name="Normal 2 4 2 3 4 2 3" xfId="5098" xr:uid="{00000000-0005-0000-0000-0000130F0000}"/>
    <cellStyle name="Normal 2 4 2 3 4 2 3 2" xfId="13527" xr:uid="{F7470F86-AD85-4BD6-A551-51BAAD3FB9A4}"/>
    <cellStyle name="Normal 2 4 2 3 4 2 4" xfId="9309" xr:uid="{295AB753-E009-41FB-B43E-2F02CC09E389}"/>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2 2" xfId="16085" xr:uid="{1841D799-8DCE-4DFC-A330-B55FAD276BF2}"/>
    <cellStyle name="Normal 2 4 2 3 4 3 2 3" xfId="11867" xr:uid="{812EA08D-7992-43D7-A6B4-AF2F4788E4F4}"/>
    <cellStyle name="Normal 2 4 2 3 4 3 3" xfId="5511" xr:uid="{00000000-0005-0000-0000-0000170F0000}"/>
    <cellStyle name="Normal 2 4 2 3 4 3 3 2" xfId="13940" xr:uid="{B0F6C052-50FF-4ECD-94D9-FBC1BF19C010}"/>
    <cellStyle name="Normal 2 4 2 3 4 3 4" xfId="9722" xr:uid="{9ED9B38E-6B6C-429C-A5FE-A27E4DA18AD1}"/>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2 2" xfId="16498" xr:uid="{F5163E6F-48BA-4222-8274-285F78FB4ADD}"/>
    <cellStyle name="Normal 2 4 2 3 4 4 2 3" xfId="12280" xr:uid="{76310788-4EAF-4849-8B8A-804AF47BD418}"/>
    <cellStyle name="Normal 2 4 2 3 4 4 3" xfId="5924" xr:uid="{00000000-0005-0000-0000-00001B0F0000}"/>
    <cellStyle name="Normal 2 4 2 3 4 4 3 2" xfId="14353" xr:uid="{6DE088E8-FA77-46CC-A6EF-791ACA5CE0EC}"/>
    <cellStyle name="Normal 2 4 2 3 4 4 4" xfId="10135" xr:uid="{3F8D1A38-DB14-468C-BC79-CFEA33891CD8}"/>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2 2" xfId="16911" xr:uid="{31F1CAED-38D9-4E07-B2C7-9A86D596652E}"/>
    <cellStyle name="Normal 2 4 2 3 4 5 2 3" xfId="12693" xr:uid="{17BFF3EE-0487-4276-8969-9F2CA5DB4728}"/>
    <cellStyle name="Normal 2 4 2 3 4 5 3" xfId="6337" xr:uid="{00000000-0005-0000-0000-00001F0F0000}"/>
    <cellStyle name="Normal 2 4 2 3 4 5 3 2" xfId="14766" xr:uid="{05E6314B-2ADB-499D-8D79-8BEA7A3CBBC8}"/>
    <cellStyle name="Normal 2 4 2 3 4 5 4" xfId="10548" xr:uid="{5AB034A8-84AE-4A1D-9693-55F66BC7B5B9}"/>
    <cellStyle name="Normal 2 4 2 3 4 6" xfId="2465" xr:uid="{00000000-0005-0000-0000-0000200F0000}"/>
    <cellStyle name="Normal 2 4 2 3 4 6 2" xfId="6750" xr:uid="{00000000-0005-0000-0000-0000210F0000}"/>
    <cellStyle name="Normal 2 4 2 3 4 6 2 2" xfId="15179" xr:uid="{2DFBBED7-02BF-478B-BD12-AD363CB66C73}"/>
    <cellStyle name="Normal 2 4 2 3 4 6 3" xfId="10961" xr:uid="{66B51D5C-D11E-4986-9BAF-5FD5E750F44F}"/>
    <cellStyle name="Normal 2 4 2 3 4 7" xfId="4684" xr:uid="{00000000-0005-0000-0000-0000220F0000}"/>
    <cellStyle name="Normal 2 4 2 3 4 7 2" xfId="13113" xr:uid="{82F09D01-6CDC-45D7-891C-098A269BCDBE}"/>
    <cellStyle name="Normal 2 4 2 3 4 8" xfId="8895" xr:uid="{B9C365C9-7674-40FD-8290-5E9A4975C1BC}"/>
    <cellStyle name="Normal 2 4 2 3 5" xfId="773" xr:uid="{00000000-0005-0000-0000-0000230F0000}"/>
    <cellStyle name="Normal 2 4 2 3 5 2" xfId="3012" xr:uid="{00000000-0005-0000-0000-0000240F0000}"/>
    <cellStyle name="Normal 2 4 2 3 5 2 2" xfId="7236" xr:uid="{00000000-0005-0000-0000-0000250F0000}"/>
    <cellStyle name="Normal 2 4 2 3 5 2 2 2" xfId="15665" xr:uid="{C1095E81-2480-45FF-B9AC-86A2DA53A511}"/>
    <cellStyle name="Normal 2 4 2 3 5 2 3" xfId="11447" xr:uid="{BFAC7877-BF8B-4CEF-8CE8-A58D82BB72E9}"/>
    <cellStyle name="Normal 2 4 2 3 5 3" xfId="5091" xr:uid="{00000000-0005-0000-0000-0000260F0000}"/>
    <cellStyle name="Normal 2 4 2 3 5 3 2" xfId="13520" xr:uid="{9370F893-BAE3-4DFA-89A6-C7382AC769E5}"/>
    <cellStyle name="Normal 2 4 2 3 5 4" xfId="9302" xr:uid="{9F8855B6-8527-4166-A25A-76D60B0E0A98}"/>
    <cellStyle name="Normal 2 4 2 3 6" xfId="1195" xr:uid="{00000000-0005-0000-0000-0000270F0000}"/>
    <cellStyle name="Normal 2 4 2 3 6 2" xfId="3425" xr:uid="{00000000-0005-0000-0000-0000280F0000}"/>
    <cellStyle name="Normal 2 4 2 3 6 2 2" xfId="7649" xr:uid="{00000000-0005-0000-0000-0000290F0000}"/>
    <cellStyle name="Normal 2 4 2 3 6 2 2 2" xfId="16078" xr:uid="{C4A59DA8-7276-42FD-91E8-3080D96E484A}"/>
    <cellStyle name="Normal 2 4 2 3 6 2 3" xfId="11860" xr:uid="{91AD1099-640F-4C4B-83DE-EAE4B5E162C4}"/>
    <cellStyle name="Normal 2 4 2 3 6 3" xfId="5504" xr:uid="{00000000-0005-0000-0000-00002A0F0000}"/>
    <cellStyle name="Normal 2 4 2 3 6 3 2" xfId="13933" xr:uid="{CCC2096F-6814-476C-9A2F-25EFA8D0CCCE}"/>
    <cellStyle name="Normal 2 4 2 3 6 4" xfId="9715" xr:uid="{D97EB944-A2CB-4D05-82CE-7C73DFE314A2}"/>
    <cellStyle name="Normal 2 4 2 3 7" xfId="1608" xr:uid="{00000000-0005-0000-0000-00002B0F0000}"/>
    <cellStyle name="Normal 2 4 2 3 7 2" xfId="3838" xr:uid="{00000000-0005-0000-0000-00002C0F0000}"/>
    <cellStyle name="Normal 2 4 2 3 7 2 2" xfId="8062" xr:uid="{00000000-0005-0000-0000-00002D0F0000}"/>
    <cellStyle name="Normal 2 4 2 3 7 2 2 2" xfId="16491" xr:uid="{D662F0D1-17D0-4CC5-99D0-EB52FA456A2A}"/>
    <cellStyle name="Normal 2 4 2 3 7 2 3" xfId="12273" xr:uid="{AC283497-95FA-45EE-935B-208B7EB075A5}"/>
    <cellStyle name="Normal 2 4 2 3 7 3" xfId="5917" xr:uid="{00000000-0005-0000-0000-00002E0F0000}"/>
    <cellStyle name="Normal 2 4 2 3 7 3 2" xfId="14346" xr:uid="{093CAD53-E95B-43DE-B95E-1B352ACE0DD2}"/>
    <cellStyle name="Normal 2 4 2 3 7 4" xfId="10128" xr:uid="{F5FAA8E2-7316-479D-AA74-84DA9C809482}"/>
    <cellStyle name="Normal 2 4 2 3 8" xfId="2022" xr:uid="{00000000-0005-0000-0000-00002F0F0000}"/>
    <cellStyle name="Normal 2 4 2 3 8 2" xfId="4251" xr:uid="{00000000-0005-0000-0000-0000300F0000}"/>
    <cellStyle name="Normal 2 4 2 3 8 2 2" xfId="8475" xr:uid="{00000000-0005-0000-0000-0000310F0000}"/>
    <cellStyle name="Normal 2 4 2 3 8 2 2 2" xfId="16904" xr:uid="{9802FFB1-25BD-443A-8471-946DBE1B13BD}"/>
    <cellStyle name="Normal 2 4 2 3 8 2 3" xfId="12686" xr:uid="{68CEB8A9-1750-46D3-8CEF-953BB7020561}"/>
    <cellStyle name="Normal 2 4 2 3 8 3" xfId="6330" xr:uid="{00000000-0005-0000-0000-0000320F0000}"/>
    <cellStyle name="Normal 2 4 2 3 8 3 2" xfId="14759" xr:uid="{976A34E8-6614-4D19-823A-896E5D4ACE81}"/>
    <cellStyle name="Normal 2 4 2 3 8 4" xfId="10541" xr:uid="{6C759191-9A40-4477-B1E8-534AB8306D14}"/>
    <cellStyle name="Normal 2 4 2 3 9" xfId="2458" xr:uid="{00000000-0005-0000-0000-0000330F0000}"/>
    <cellStyle name="Normal 2 4 2 3 9 2" xfId="6743" xr:uid="{00000000-0005-0000-0000-0000340F0000}"/>
    <cellStyle name="Normal 2 4 2 3 9 2 2" xfId="15172" xr:uid="{2051460C-6D68-47DB-808F-40C959CA6DCA}"/>
    <cellStyle name="Normal 2 4 2 3 9 3" xfId="10954" xr:uid="{1B0418AD-84F4-47EF-B811-C7324E2051E6}"/>
    <cellStyle name="Normal 2 4 2 4" xfId="289" xr:uid="{00000000-0005-0000-0000-0000350F0000}"/>
    <cellStyle name="Normal 2 4 2 4 10" xfId="8896" xr:uid="{DA55D6A4-192A-408C-904D-6A806E9E4981}"/>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2 2" xfId="15675" xr:uid="{8A33FA0E-F642-48CB-A991-CADC3843407B}"/>
    <cellStyle name="Normal 2 4 2 4 2 2 2 2 3" xfId="11457" xr:uid="{5F6067F2-7ADC-4064-B918-10EC0D311D4E}"/>
    <cellStyle name="Normal 2 4 2 4 2 2 2 3" xfId="5101" xr:uid="{00000000-0005-0000-0000-00003B0F0000}"/>
    <cellStyle name="Normal 2 4 2 4 2 2 2 3 2" xfId="13530" xr:uid="{0B7236B1-DF89-48E5-BD8C-104A96262118}"/>
    <cellStyle name="Normal 2 4 2 4 2 2 2 4" xfId="9312" xr:uid="{B0A5A60B-B314-43D4-B32A-B44FF4FD12CB}"/>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2 2" xfId="16088" xr:uid="{0F6BB290-055B-41B2-A176-EEB4FC08A4DF}"/>
    <cellStyle name="Normal 2 4 2 4 2 2 3 2 3" xfId="11870" xr:uid="{F78EEFBA-5BC0-4D22-ADC5-B315108208E0}"/>
    <cellStyle name="Normal 2 4 2 4 2 2 3 3" xfId="5514" xr:uid="{00000000-0005-0000-0000-00003F0F0000}"/>
    <cellStyle name="Normal 2 4 2 4 2 2 3 3 2" xfId="13943" xr:uid="{8ABE0003-6DDF-444E-B59E-A4D9D9B329D9}"/>
    <cellStyle name="Normal 2 4 2 4 2 2 3 4" xfId="9725" xr:uid="{6933BCD2-CC93-4512-9CC8-018DF2E0D16E}"/>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2 2" xfId="16501" xr:uid="{754EEB94-C75D-450C-A06F-F4B85D68415C}"/>
    <cellStyle name="Normal 2 4 2 4 2 2 4 2 3" xfId="12283" xr:uid="{F26ABE3A-080E-4679-836D-044296C87874}"/>
    <cellStyle name="Normal 2 4 2 4 2 2 4 3" xfId="5927" xr:uid="{00000000-0005-0000-0000-0000430F0000}"/>
    <cellStyle name="Normal 2 4 2 4 2 2 4 3 2" xfId="14356" xr:uid="{29958262-DD5D-48D2-920E-B3B49CA25874}"/>
    <cellStyle name="Normal 2 4 2 4 2 2 4 4" xfId="10138" xr:uid="{9DC7A395-66AD-4C5E-A3FD-C7B4A7B146E5}"/>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2 2" xfId="16914" xr:uid="{CA5042FC-D5DE-45E2-9DC8-A2E07463ECFD}"/>
    <cellStyle name="Normal 2 4 2 4 2 2 5 2 3" xfId="12696" xr:uid="{52720574-A503-4FF4-BF12-2C51ECB0AF68}"/>
    <cellStyle name="Normal 2 4 2 4 2 2 5 3" xfId="6340" xr:uid="{00000000-0005-0000-0000-0000470F0000}"/>
    <cellStyle name="Normal 2 4 2 4 2 2 5 3 2" xfId="14769" xr:uid="{1A575F7A-54AA-487E-B378-6CA617FDFE97}"/>
    <cellStyle name="Normal 2 4 2 4 2 2 5 4" xfId="10551" xr:uid="{FF4FA9B7-F06F-4ED4-BFE7-9D08CA877A74}"/>
    <cellStyle name="Normal 2 4 2 4 2 2 6" xfId="2468" xr:uid="{00000000-0005-0000-0000-0000480F0000}"/>
    <cellStyle name="Normal 2 4 2 4 2 2 6 2" xfId="6753" xr:uid="{00000000-0005-0000-0000-0000490F0000}"/>
    <cellStyle name="Normal 2 4 2 4 2 2 6 2 2" xfId="15182" xr:uid="{AA728B94-3165-4639-8193-298F75BCAAB6}"/>
    <cellStyle name="Normal 2 4 2 4 2 2 6 3" xfId="10964" xr:uid="{01311418-2983-4D72-844E-4AA176F8C827}"/>
    <cellStyle name="Normal 2 4 2 4 2 2 7" xfId="4687" xr:uid="{00000000-0005-0000-0000-00004A0F0000}"/>
    <cellStyle name="Normal 2 4 2 4 2 2 7 2" xfId="13116" xr:uid="{EE6F7FE2-7294-471E-9BC0-41AD8CC52D71}"/>
    <cellStyle name="Normal 2 4 2 4 2 2 8" xfId="8898" xr:uid="{EB4F610B-77B1-47E2-B84A-B7C8E05A78CC}"/>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2 2" xfId="15674" xr:uid="{A75CF7C3-31BF-4B75-AA15-0F7622697347}"/>
    <cellStyle name="Normal 2 4 2 4 2 3 2 3" xfId="11456" xr:uid="{092EA91D-13D9-4CF0-87D0-36DAF6D31A0D}"/>
    <cellStyle name="Normal 2 4 2 4 2 3 3" xfId="5100" xr:uid="{00000000-0005-0000-0000-00004E0F0000}"/>
    <cellStyle name="Normal 2 4 2 4 2 3 3 2" xfId="13529" xr:uid="{1712E14B-F66C-4455-9EEA-7A0B594BAC6A}"/>
    <cellStyle name="Normal 2 4 2 4 2 3 4" xfId="9311" xr:uid="{26D998EA-6627-4B2A-A02E-D5688B958F18}"/>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2 2" xfId="16087" xr:uid="{D7026095-7EEF-4F8C-8792-42CC5BA119C9}"/>
    <cellStyle name="Normal 2 4 2 4 2 4 2 3" xfId="11869" xr:uid="{BCF2CC3D-3F3E-412C-9D6B-E62DAD3979E0}"/>
    <cellStyle name="Normal 2 4 2 4 2 4 3" xfId="5513" xr:uid="{00000000-0005-0000-0000-0000520F0000}"/>
    <cellStyle name="Normal 2 4 2 4 2 4 3 2" xfId="13942" xr:uid="{65071A8A-8C2B-48DF-B9C4-46D6F925DA93}"/>
    <cellStyle name="Normal 2 4 2 4 2 4 4" xfId="9724" xr:uid="{E088C871-D14D-4B24-A11F-802B893649B3}"/>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2 2" xfId="16500" xr:uid="{574CF9F9-DB2C-4794-9E39-5F478BF9A301}"/>
    <cellStyle name="Normal 2 4 2 4 2 5 2 3" xfId="12282" xr:uid="{A630B399-9AD1-4EBE-B106-E4F630094105}"/>
    <cellStyle name="Normal 2 4 2 4 2 5 3" xfId="5926" xr:uid="{00000000-0005-0000-0000-0000560F0000}"/>
    <cellStyle name="Normal 2 4 2 4 2 5 3 2" xfId="14355" xr:uid="{B63140C7-8AB9-4B6D-B9A5-3297FC0647C9}"/>
    <cellStyle name="Normal 2 4 2 4 2 5 4" xfId="10137" xr:uid="{BC234B6F-2697-4BE5-8935-76E488914F42}"/>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2 2" xfId="16913" xr:uid="{71E4F5BA-9F85-4BFA-85FE-1E97E6CC71D9}"/>
    <cellStyle name="Normal 2 4 2 4 2 6 2 3" xfId="12695" xr:uid="{74461226-8006-4E4B-9827-F1BD2D5AA2DB}"/>
    <cellStyle name="Normal 2 4 2 4 2 6 3" xfId="6339" xr:uid="{00000000-0005-0000-0000-00005A0F0000}"/>
    <cellStyle name="Normal 2 4 2 4 2 6 3 2" xfId="14768" xr:uid="{BEE2CCF0-2CDA-4342-8337-A83E75141561}"/>
    <cellStyle name="Normal 2 4 2 4 2 6 4" xfId="10550" xr:uid="{BD653AB7-74B5-4AA5-BE61-431F6A939A10}"/>
    <cellStyle name="Normal 2 4 2 4 2 7" xfId="2467" xr:uid="{00000000-0005-0000-0000-00005B0F0000}"/>
    <cellStyle name="Normal 2 4 2 4 2 7 2" xfId="6752" xr:uid="{00000000-0005-0000-0000-00005C0F0000}"/>
    <cellStyle name="Normal 2 4 2 4 2 7 2 2" xfId="15181" xr:uid="{D14B7B38-CA29-45F5-B15C-78C97FE74E27}"/>
    <cellStyle name="Normal 2 4 2 4 2 7 3" xfId="10963" xr:uid="{DDC8CEB3-EBF8-40C2-8910-8DC76AE28651}"/>
    <cellStyle name="Normal 2 4 2 4 2 8" xfId="4686" xr:uid="{00000000-0005-0000-0000-00005D0F0000}"/>
    <cellStyle name="Normal 2 4 2 4 2 8 2" xfId="13115" xr:uid="{50648AC4-68A8-4C52-9024-F0E5DD67C808}"/>
    <cellStyle name="Normal 2 4 2 4 2 9" xfId="8897" xr:uid="{316BCB98-FC4F-45D5-A1D9-99F577C58537}"/>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2 2" xfId="15676" xr:uid="{73BBED7F-9105-4627-A6BB-615118702365}"/>
    <cellStyle name="Normal 2 4 2 4 3 2 2 3" xfId="11458" xr:uid="{19162708-7437-48F5-8C20-4E040900EF43}"/>
    <cellStyle name="Normal 2 4 2 4 3 2 3" xfId="5102" xr:uid="{00000000-0005-0000-0000-0000620F0000}"/>
    <cellStyle name="Normal 2 4 2 4 3 2 3 2" xfId="13531" xr:uid="{032F2811-CCFC-4C34-B29E-D8D78523A4F3}"/>
    <cellStyle name="Normal 2 4 2 4 3 2 4" xfId="9313" xr:uid="{984368A2-E66C-451C-A674-D5C43EB62D25}"/>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2 2" xfId="16089" xr:uid="{7E609BC9-7D7C-4227-B877-405244838B25}"/>
    <cellStyle name="Normal 2 4 2 4 3 3 2 3" xfId="11871" xr:uid="{393B3F1F-AF73-4BD8-9CD7-14D98D3E115B}"/>
    <cellStyle name="Normal 2 4 2 4 3 3 3" xfId="5515" xr:uid="{00000000-0005-0000-0000-0000660F0000}"/>
    <cellStyle name="Normal 2 4 2 4 3 3 3 2" xfId="13944" xr:uid="{161CC87A-ADB1-4EB6-9525-26C1573EE921}"/>
    <cellStyle name="Normal 2 4 2 4 3 3 4" xfId="9726" xr:uid="{B49DF438-64E8-4F6F-9419-B9E6BE09B07B}"/>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2 2" xfId="16502" xr:uid="{FEBBDFEE-34CB-4D47-BF5A-EAB11B855DAF}"/>
    <cellStyle name="Normal 2 4 2 4 3 4 2 3" xfId="12284" xr:uid="{38BDCAD5-385E-4479-99A0-5281AA4AC37E}"/>
    <cellStyle name="Normal 2 4 2 4 3 4 3" xfId="5928" xr:uid="{00000000-0005-0000-0000-00006A0F0000}"/>
    <cellStyle name="Normal 2 4 2 4 3 4 3 2" xfId="14357" xr:uid="{F60CB6C6-AB35-48E8-B369-7EB6BEE24262}"/>
    <cellStyle name="Normal 2 4 2 4 3 4 4" xfId="10139" xr:uid="{21A64BE6-FD0E-423C-9128-9159B852AABD}"/>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2 2" xfId="16915" xr:uid="{050660BE-2745-4B19-84F9-6EA993B3C5F2}"/>
    <cellStyle name="Normal 2 4 2 4 3 5 2 3" xfId="12697" xr:uid="{52CE6F95-E4CD-4686-9C40-DEE499ABD9A4}"/>
    <cellStyle name="Normal 2 4 2 4 3 5 3" xfId="6341" xr:uid="{00000000-0005-0000-0000-00006E0F0000}"/>
    <cellStyle name="Normal 2 4 2 4 3 5 3 2" xfId="14770" xr:uid="{1CEC1334-1080-46E2-8510-BC2078F6ED25}"/>
    <cellStyle name="Normal 2 4 2 4 3 5 4" xfId="10552" xr:uid="{66205EE8-B6B7-4288-98B0-81FA4FE50934}"/>
    <cellStyle name="Normal 2 4 2 4 3 6" xfId="2469" xr:uid="{00000000-0005-0000-0000-00006F0F0000}"/>
    <cellStyle name="Normal 2 4 2 4 3 6 2" xfId="6754" xr:uid="{00000000-0005-0000-0000-0000700F0000}"/>
    <cellStyle name="Normal 2 4 2 4 3 6 2 2" xfId="15183" xr:uid="{7FC2E014-B312-46ED-AD08-A4093DF158D4}"/>
    <cellStyle name="Normal 2 4 2 4 3 6 3" xfId="10965" xr:uid="{C1003186-AF06-45B1-B799-01E6F9B28BFA}"/>
    <cellStyle name="Normal 2 4 2 4 3 7" xfId="4688" xr:uid="{00000000-0005-0000-0000-0000710F0000}"/>
    <cellStyle name="Normal 2 4 2 4 3 7 2" xfId="13117" xr:uid="{C0F48E4F-AF42-4A91-BF4E-4B5318143CFE}"/>
    <cellStyle name="Normal 2 4 2 4 3 8" xfId="8899" xr:uid="{D1DD28B8-8C3E-477B-A52E-9DA7B0C110D0}"/>
    <cellStyle name="Normal 2 4 2 4 4" xfId="781" xr:uid="{00000000-0005-0000-0000-0000720F0000}"/>
    <cellStyle name="Normal 2 4 2 4 4 2" xfId="3020" xr:uid="{00000000-0005-0000-0000-0000730F0000}"/>
    <cellStyle name="Normal 2 4 2 4 4 2 2" xfId="7244" xr:uid="{00000000-0005-0000-0000-0000740F0000}"/>
    <cellStyle name="Normal 2 4 2 4 4 2 2 2" xfId="15673" xr:uid="{4F33F7EC-6D09-4672-8650-F796703C22DE}"/>
    <cellStyle name="Normal 2 4 2 4 4 2 3" xfId="11455" xr:uid="{F5D6B195-22D7-4EA9-919A-A200C3E5ABAF}"/>
    <cellStyle name="Normal 2 4 2 4 4 3" xfId="5099" xr:uid="{00000000-0005-0000-0000-0000750F0000}"/>
    <cellStyle name="Normal 2 4 2 4 4 3 2" xfId="13528" xr:uid="{64910265-7349-44D3-A424-506D7718F360}"/>
    <cellStyle name="Normal 2 4 2 4 4 4" xfId="9310" xr:uid="{AF150438-E1CD-4D3A-B9C1-9182E125E2BE}"/>
    <cellStyle name="Normal 2 4 2 4 5" xfId="1203" xr:uid="{00000000-0005-0000-0000-0000760F0000}"/>
    <cellStyle name="Normal 2 4 2 4 5 2" xfId="3433" xr:uid="{00000000-0005-0000-0000-0000770F0000}"/>
    <cellStyle name="Normal 2 4 2 4 5 2 2" xfId="7657" xr:uid="{00000000-0005-0000-0000-0000780F0000}"/>
    <cellStyle name="Normal 2 4 2 4 5 2 2 2" xfId="16086" xr:uid="{467A2293-07CB-4B23-A0E9-BB584783526C}"/>
    <cellStyle name="Normal 2 4 2 4 5 2 3" xfId="11868" xr:uid="{A1211B3A-8872-4629-B7BD-6A6DD549AB0E}"/>
    <cellStyle name="Normal 2 4 2 4 5 3" xfId="5512" xr:uid="{00000000-0005-0000-0000-0000790F0000}"/>
    <cellStyle name="Normal 2 4 2 4 5 3 2" xfId="13941" xr:uid="{D93CEE4D-30CA-49FB-99F5-B370FAE53A6C}"/>
    <cellStyle name="Normal 2 4 2 4 5 4" xfId="9723" xr:uid="{B0CF102D-19B5-4917-8F85-47A0615B6E33}"/>
    <cellStyle name="Normal 2 4 2 4 6" xfId="1616" xr:uid="{00000000-0005-0000-0000-00007A0F0000}"/>
    <cellStyle name="Normal 2 4 2 4 6 2" xfId="3846" xr:uid="{00000000-0005-0000-0000-00007B0F0000}"/>
    <cellStyle name="Normal 2 4 2 4 6 2 2" xfId="8070" xr:uid="{00000000-0005-0000-0000-00007C0F0000}"/>
    <cellStyle name="Normal 2 4 2 4 6 2 2 2" xfId="16499" xr:uid="{DBC6DE45-417D-4618-814F-1FEAFF279EC4}"/>
    <cellStyle name="Normal 2 4 2 4 6 2 3" xfId="12281" xr:uid="{E7600454-4304-4D47-B708-B528B82DA211}"/>
    <cellStyle name="Normal 2 4 2 4 6 3" xfId="5925" xr:uid="{00000000-0005-0000-0000-00007D0F0000}"/>
    <cellStyle name="Normal 2 4 2 4 6 3 2" xfId="14354" xr:uid="{F5705540-CD7D-4C19-922B-7797037CEA83}"/>
    <cellStyle name="Normal 2 4 2 4 6 4" xfId="10136" xr:uid="{E582FBB6-557F-49F2-9C85-8188DA151401}"/>
    <cellStyle name="Normal 2 4 2 4 7" xfId="2030" xr:uid="{00000000-0005-0000-0000-00007E0F0000}"/>
    <cellStyle name="Normal 2 4 2 4 7 2" xfId="4259" xr:uid="{00000000-0005-0000-0000-00007F0F0000}"/>
    <cellStyle name="Normal 2 4 2 4 7 2 2" xfId="8483" xr:uid="{00000000-0005-0000-0000-0000800F0000}"/>
    <cellStyle name="Normal 2 4 2 4 7 2 2 2" xfId="16912" xr:uid="{24E6C17C-C2FA-4938-9AE5-F057553D060F}"/>
    <cellStyle name="Normal 2 4 2 4 7 2 3" xfId="12694" xr:uid="{634D4EC9-3957-4300-AC56-0BFCCF416AEF}"/>
    <cellStyle name="Normal 2 4 2 4 7 3" xfId="6338" xr:uid="{00000000-0005-0000-0000-0000810F0000}"/>
    <cellStyle name="Normal 2 4 2 4 7 3 2" xfId="14767" xr:uid="{FDA0608B-52F2-4102-93D0-263F594AB180}"/>
    <cellStyle name="Normal 2 4 2 4 7 4" xfId="10549" xr:uid="{28767789-95A8-4D67-BE03-D288E61B0EF8}"/>
    <cellStyle name="Normal 2 4 2 4 8" xfId="2466" xr:uid="{00000000-0005-0000-0000-0000820F0000}"/>
    <cellStyle name="Normal 2 4 2 4 8 2" xfId="6751" xr:uid="{00000000-0005-0000-0000-0000830F0000}"/>
    <cellStyle name="Normal 2 4 2 4 8 2 2" xfId="15180" xr:uid="{FFBD3503-DBEC-4821-9EC6-5176E2B38AD0}"/>
    <cellStyle name="Normal 2 4 2 4 8 3" xfId="10962" xr:uid="{988430E0-A2F7-43DF-8067-F749712362B6}"/>
    <cellStyle name="Normal 2 4 2 4 9" xfId="4685" xr:uid="{00000000-0005-0000-0000-0000840F0000}"/>
    <cellStyle name="Normal 2 4 2 4 9 2" xfId="13114" xr:uid="{A4C5ECBE-5181-4572-99B3-CC6E95A4EFF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2 2" xfId="15678" xr:uid="{C0687E05-A52C-4FFC-AD30-B4795EAC2F29}"/>
    <cellStyle name="Normal 2 4 2 5 2 2 2 3" xfId="11460" xr:uid="{FE0CFCE6-B93A-4BEE-9654-B87033D760DF}"/>
    <cellStyle name="Normal 2 4 2 5 2 2 3" xfId="5104" xr:uid="{00000000-0005-0000-0000-00008A0F0000}"/>
    <cellStyle name="Normal 2 4 2 5 2 2 3 2" xfId="13533" xr:uid="{21A1E67A-89A9-4898-AE26-B957BD0454AB}"/>
    <cellStyle name="Normal 2 4 2 5 2 2 4" xfId="9315" xr:uid="{E54725B1-A1E0-49F1-AD9A-DEDF54641CF9}"/>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2 2" xfId="16091" xr:uid="{1082D8DB-0C61-4C22-9A57-3A9DB56070F0}"/>
    <cellStyle name="Normal 2 4 2 5 2 3 2 3" xfId="11873" xr:uid="{C7E7398B-2CA5-4FAE-8125-BC86B45934C1}"/>
    <cellStyle name="Normal 2 4 2 5 2 3 3" xfId="5517" xr:uid="{00000000-0005-0000-0000-00008E0F0000}"/>
    <cellStyle name="Normal 2 4 2 5 2 3 3 2" xfId="13946" xr:uid="{99119F29-EA8B-4279-A7E3-B66DA97D3FEA}"/>
    <cellStyle name="Normal 2 4 2 5 2 3 4" xfId="9728" xr:uid="{9F1F70ED-BF45-4DEF-8029-89F205E5D782}"/>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2 2" xfId="16504" xr:uid="{5ABB1748-D600-4C43-A1A0-9174A5EDDA37}"/>
    <cellStyle name="Normal 2 4 2 5 2 4 2 3" xfId="12286" xr:uid="{52B41029-BDD6-48C1-9E5A-3C6D90C142D7}"/>
    <cellStyle name="Normal 2 4 2 5 2 4 3" xfId="5930" xr:uid="{00000000-0005-0000-0000-0000920F0000}"/>
    <cellStyle name="Normal 2 4 2 5 2 4 3 2" xfId="14359" xr:uid="{439B4906-BA90-48F8-A034-5E7409B5CC28}"/>
    <cellStyle name="Normal 2 4 2 5 2 4 4" xfId="10141" xr:uid="{63A3E11D-A406-4F33-ABBB-03C7B0B1F3C2}"/>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2 2" xfId="16917" xr:uid="{9D7E4A9B-0250-4888-B4DD-97138EF498B3}"/>
    <cellStyle name="Normal 2 4 2 5 2 5 2 3" xfId="12699" xr:uid="{72F35B6E-8CD6-459F-86AF-8F16DB7A878A}"/>
    <cellStyle name="Normal 2 4 2 5 2 5 3" xfId="6343" xr:uid="{00000000-0005-0000-0000-0000960F0000}"/>
    <cellStyle name="Normal 2 4 2 5 2 5 3 2" xfId="14772" xr:uid="{C81B92CC-8631-4980-A3B5-B3050954F34B}"/>
    <cellStyle name="Normal 2 4 2 5 2 5 4" xfId="10554" xr:uid="{A800181C-0FC4-4EA4-81BF-850BEB45B86F}"/>
    <cellStyle name="Normal 2 4 2 5 2 6" xfId="2471" xr:uid="{00000000-0005-0000-0000-0000970F0000}"/>
    <cellStyle name="Normal 2 4 2 5 2 6 2" xfId="6756" xr:uid="{00000000-0005-0000-0000-0000980F0000}"/>
    <cellStyle name="Normal 2 4 2 5 2 6 2 2" xfId="15185" xr:uid="{677F1B26-BFBB-4933-9BD3-B40EACC10CD3}"/>
    <cellStyle name="Normal 2 4 2 5 2 6 3" xfId="10967" xr:uid="{3FA2CCC7-D59C-4D2C-8503-DBE893E6F640}"/>
    <cellStyle name="Normal 2 4 2 5 2 7" xfId="4690" xr:uid="{00000000-0005-0000-0000-0000990F0000}"/>
    <cellStyle name="Normal 2 4 2 5 2 7 2" xfId="13119" xr:uid="{3C31ED9A-0306-4538-8DF5-DB6A8DE68020}"/>
    <cellStyle name="Normal 2 4 2 5 2 8" xfId="8901" xr:uid="{A407175F-557C-4563-9E26-2D6B289BAB81}"/>
    <cellStyle name="Normal 2 4 2 5 3" xfId="785" xr:uid="{00000000-0005-0000-0000-00009A0F0000}"/>
    <cellStyle name="Normal 2 4 2 5 3 2" xfId="3024" xr:uid="{00000000-0005-0000-0000-00009B0F0000}"/>
    <cellStyle name="Normal 2 4 2 5 3 2 2" xfId="7248" xr:uid="{00000000-0005-0000-0000-00009C0F0000}"/>
    <cellStyle name="Normal 2 4 2 5 3 2 2 2" xfId="15677" xr:uid="{E0C5F259-02F9-4663-93D0-D8AC95278F04}"/>
    <cellStyle name="Normal 2 4 2 5 3 2 3" xfId="11459" xr:uid="{76590A4D-B597-493B-8D2E-17D12303E473}"/>
    <cellStyle name="Normal 2 4 2 5 3 3" xfId="5103" xr:uid="{00000000-0005-0000-0000-00009D0F0000}"/>
    <cellStyle name="Normal 2 4 2 5 3 3 2" xfId="13532" xr:uid="{7489EDC6-F73C-4D1B-AB10-A2BEA5E07A96}"/>
    <cellStyle name="Normal 2 4 2 5 3 4" xfId="9314" xr:uid="{20C77662-B8C8-45FD-9FB0-6BF34D9CE3AF}"/>
    <cellStyle name="Normal 2 4 2 5 4" xfId="1207" xr:uid="{00000000-0005-0000-0000-00009E0F0000}"/>
    <cellStyle name="Normal 2 4 2 5 4 2" xfId="3437" xr:uid="{00000000-0005-0000-0000-00009F0F0000}"/>
    <cellStyle name="Normal 2 4 2 5 4 2 2" xfId="7661" xr:uid="{00000000-0005-0000-0000-0000A00F0000}"/>
    <cellStyle name="Normal 2 4 2 5 4 2 2 2" xfId="16090" xr:uid="{6630B675-3817-4732-A621-3CDCA179366B}"/>
    <cellStyle name="Normal 2 4 2 5 4 2 3" xfId="11872" xr:uid="{25AEEDDD-0AA2-4070-89D9-8ED6A889EEFA}"/>
    <cellStyle name="Normal 2 4 2 5 4 3" xfId="5516" xr:uid="{00000000-0005-0000-0000-0000A10F0000}"/>
    <cellStyle name="Normal 2 4 2 5 4 3 2" xfId="13945" xr:uid="{B4A3E637-A554-4244-AD6E-CB638CC469E8}"/>
    <cellStyle name="Normal 2 4 2 5 4 4" xfId="9727" xr:uid="{134DA5AD-B1EF-4F2F-8C81-EC762C0586D5}"/>
    <cellStyle name="Normal 2 4 2 5 5" xfId="1620" xr:uid="{00000000-0005-0000-0000-0000A20F0000}"/>
    <cellStyle name="Normal 2 4 2 5 5 2" xfId="3850" xr:uid="{00000000-0005-0000-0000-0000A30F0000}"/>
    <cellStyle name="Normal 2 4 2 5 5 2 2" xfId="8074" xr:uid="{00000000-0005-0000-0000-0000A40F0000}"/>
    <cellStyle name="Normal 2 4 2 5 5 2 2 2" xfId="16503" xr:uid="{75F23428-B53B-4733-982F-752D61503950}"/>
    <cellStyle name="Normal 2 4 2 5 5 2 3" xfId="12285" xr:uid="{9D1509EF-CC81-4CBD-9513-0AF178841E2F}"/>
    <cellStyle name="Normal 2 4 2 5 5 3" xfId="5929" xr:uid="{00000000-0005-0000-0000-0000A50F0000}"/>
    <cellStyle name="Normal 2 4 2 5 5 3 2" xfId="14358" xr:uid="{BC92DF6C-E433-4B39-B95D-EF37ABCB6444}"/>
    <cellStyle name="Normal 2 4 2 5 5 4" xfId="10140" xr:uid="{F0724A29-E506-47A1-8763-36D5A11FCA28}"/>
    <cellStyle name="Normal 2 4 2 5 6" xfId="2034" xr:uid="{00000000-0005-0000-0000-0000A60F0000}"/>
    <cellStyle name="Normal 2 4 2 5 6 2" xfId="4263" xr:uid="{00000000-0005-0000-0000-0000A70F0000}"/>
    <cellStyle name="Normal 2 4 2 5 6 2 2" xfId="8487" xr:uid="{00000000-0005-0000-0000-0000A80F0000}"/>
    <cellStyle name="Normal 2 4 2 5 6 2 2 2" xfId="16916" xr:uid="{46807B6F-B1EB-476B-B16B-469A91D53823}"/>
    <cellStyle name="Normal 2 4 2 5 6 2 3" xfId="12698" xr:uid="{F133BDFF-73D3-49AB-A5EE-DA8C61D46941}"/>
    <cellStyle name="Normal 2 4 2 5 6 3" xfId="6342" xr:uid="{00000000-0005-0000-0000-0000A90F0000}"/>
    <cellStyle name="Normal 2 4 2 5 6 3 2" xfId="14771" xr:uid="{37229484-6E53-4DC4-8AA1-53221C41BD43}"/>
    <cellStyle name="Normal 2 4 2 5 6 4" xfId="10553" xr:uid="{83B97B4A-78B2-4921-85DD-B372C839D5F5}"/>
    <cellStyle name="Normal 2 4 2 5 7" xfId="2470" xr:uid="{00000000-0005-0000-0000-0000AA0F0000}"/>
    <cellStyle name="Normal 2 4 2 5 7 2" xfId="6755" xr:uid="{00000000-0005-0000-0000-0000AB0F0000}"/>
    <cellStyle name="Normal 2 4 2 5 7 2 2" xfId="15184" xr:uid="{13975972-F3FC-407B-B0FB-C99D5E521069}"/>
    <cellStyle name="Normal 2 4 2 5 7 3" xfId="10966" xr:uid="{F03A30CD-8C22-40E1-8ACF-207DA7D3D61B}"/>
    <cellStyle name="Normal 2 4 2 5 8" xfId="4689" xr:uid="{00000000-0005-0000-0000-0000AC0F0000}"/>
    <cellStyle name="Normal 2 4 2 5 8 2" xfId="13118" xr:uid="{842F9234-E2A1-4428-BBCD-A2FDB4F54413}"/>
    <cellStyle name="Normal 2 4 2 5 9" xfId="8900" xr:uid="{8F452D5C-00DB-4C23-93A5-3E0E2CF34CB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2 2" xfId="15679" xr:uid="{A802BC8D-6252-4109-BBAC-1E2F1A151E64}"/>
    <cellStyle name="Normal 2 4 2 6 2 2 3" xfId="11461" xr:uid="{CC02EDB6-68DA-461B-B273-8F96827BFF06}"/>
    <cellStyle name="Normal 2 4 2 6 2 3" xfId="5105" xr:uid="{00000000-0005-0000-0000-0000B10F0000}"/>
    <cellStyle name="Normal 2 4 2 6 2 3 2" xfId="13534" xr:uid="{EC21C02B-217C-43B2-96AC-89A2C078D5AB}"/>
    <cellStyle name="Normal 2 4 2 6 2 4" xfId="9316" xr:uid="{6BA4C41D-C01B-4CBE-8DDA-48C754D7EB7B}"/>
    <cellStyle name="Normal 2 4 2 6 3" xfId="1209" xr:uid="{00000000-0005-0000-0000-0000B20F0000}"/>
    <cellStyle name="Normal 2 4 2 6 3 2" xfId="3439" xr:uid="{00000000-0005-0000-0000-0000B30F0000}"/>
    <cellStyle name="Normal 2 4 2 6 3 2 2" xfId="7663" xr:uid="{00000000-0005-0000-0000-0000B40F0000}"/>
    <cellStyle name="Normal 2 4 2 6 3 2 2 2" xfId="16092" xr:uid="{069C0FBD-B93A-4DE4-8C8F-FB3F22FA02E8}"/>
    <cellStyle name="Normal 2 4 2 6 3 2 3" xfId="11874" xr:uid="{03992823-7D85-4B39-B3E3-2DB23D5DB8E9}"/>
    <cellStyle name="Normal 2 4 2 6 3 3" xfId="5518" xr:uid="{00000000-0005-0000-0000-0000B50F0000}"/>
    <cellStyle name="Normal 2 4 2 6 3 3 2" xfId="13947" xr:uid="{BAB698D2-1859-4DDA-88E5-F98EF0079F4D}"/>
    <cellStyle name="Normal 2 4 2 6 3 4" xfId="9729" xr:uid="{19AE64FD-1BCB-47A9-A276-DCD1E8882814}"/>
    <cellStyle name="Normal 2 4 2 6 4" xfId="1622" xr:uid="{00000000-0005-0000-0000-0000B60F0000}"/>
    <cellStyle name="Normal 2 4 2 6 4 2" xfId="3852" xr:uid="{00000000-0005-0000-0000-0000B70F0000}"/>
    <cellStyle name="Normal 2 4 2 6 4 2 2" xfId="8076" xr:uid="{00000000-0005-0000-0000-0000B80F0000}"/>
    <cellStyle name="Normal 2 4 2 6 4 2 2 2" xfId="16505" xr:uid="{F4C4BCC0-C57D-4DB8-BCED-0B550E4B562F}"/>
    <cellStyle name="Normal 2 4 2 6 4 2 3" xfId="12287" xr:uid="{0B4D7E79-9EBF-45DE-9A02-243782506E21}"/>
    <cellStyle name="Normal 2 4 2 6 4 3" xfId="5931" xr:uid="{00000000-0005-0000-0000-0000B90F0000}"/>
    <cellStyle name="Normal 2 4 2 6 4 3 2" xfId="14360" xr:uid="{980A447C-8A0B-45DF-AD09-4ACAB3E6F8CB}"/>
    <cellStyle name="Normal 2 4 2 6 4 4" xfId="10142" xr:uid="{524279FD-8D01-4EA7-83EC-200430DEECDA}"/>
    <cellStyle name="Normal 2 4 2 6 5" xfId="2036" xr:uid="{00000000-0005-0000-0000-0000BA0F0000}"/>
    <cellStyle name="Normal 2 4 2 6 5 2" xfId="4265" xr:uid="{00000000-0005-0000-0000-0000BB0F0000}"/>
    <cellStyle name="Normal 2 4 2 6 5 2 2" xfId="8489" xr:uid="{00000000-0005-0000-0000-0000BC0F0000}"/>
    <cellStyle name="Normal 2 4 2 6 5 2 2 2" xfId="16918" xr:uid="{05C4A4B5-A1DB-49E2-B350-386AC00A73F3}"/>
    <cellStyle name="Normal 2 4 2 6 5 2 3" xfId="12700" xr:uid="{44FDAB9E-94B1-445D-A28E-59C8CA4558F9}"/>
    <cellStyle name="Normal 2 4 2 6 5 3" xfId="6344" xr:uid="{00000000-0005-0000-0000-0000BD0F0000}"/>
    <cellStyle name="Normal 2 4 2 6 5 3 2" xfId="14773" xr:uid="{79EBE6DC-F7D1-4389-8365-C7428F3592D2}"/>
    <cellStyle name="Normal 2 4 2 6 5 4" xfId="10555" xr:uid="{397F584F-4330-4B03-B664-62AE09786864}"/>
    <cellStyle name="Normal 2 4 2 6 6" xfId="2472" xr:uid="{00000000-0005-0000-0000-0000BE0F0000}"/>
    <cellStyle name="Normal 2 4 2 6 6 2" xfId="6757" xr:uid="{00000000-0005-0000-0000-0000BF0F0000}"/>
    <cellStyle name="Normal 2 4 2 6 6 2 2" xfId="15186" xr:uid="{A2C0B855-DA4A-4ED3-8952-97F3FA7B0A96}"/>
    <cellStyle name="Normal 2 4 2 6 6 3" xfId="10968" xr:uid="{B42467CD-2FBF-4AD7-B91E-073EC2578E0B}"/>
    <cellStyle name="Normal 2 4 2 6 7" xfId="4691" xr:uid="{00000000-0005-0000-0000-0000C00F0000}"/>
    <cellStyle name="Normal 2 4 2 6 7 2" xfId="13120" xr:uid="{2936A7A2-260E-4816-AA2C-0DD71ABAB0BC}"/>
    <cellStyle name="Normal 2 4 2 6 8" xfId="8902" xr:uid="{A4DA7FEA-634F-4210-B81A-92167CF02F10}"/>
    <cellStyle name="Normal 2 4 2 7" xfId="772" xr:uid="{00000000-0005-0000-0000-0000C10F0000}"/>
    <cellStyle name="Normal 2 4 2 7 2" xfId="3011" xr:uid="{00000000-0005-0000-0000-0000C20F0000}"/>
    <cellStyle name="Normal 2 4 2 7 2 2" xfId="7235" xr:uid="{00000000-0005-0000-0000-0000C30F0000}"/>
    <cellStyle name="Normal 2 4 2 7 2 2 2" xfId="15664" xr:uid="{032B7316-A628-4306-AAC5-489BC01AFA68}"/>
    <cellStyle name="Normal 2 4 2 7 2 3" xfId="11446" xr:uid="{FD29280E-79E3-4C89-BE7C-1EAF789D6F0A}"/>
    <cellStyle name="Normal 2 4 2 7 3" xfId="5090" xr:uid="{00000000-0005-0000-0000-0000C40F0000}"/>
    <cellStyle name="Normal 2 4 2 7 3 2" xfId="13519" xr:uid="{3B8F166F-F0F1-4C41-85B9-26C82998D0E8}"/>
    <cellStyle name="Normal 2 4 2 7 4" xfId="9301" xr:uid="{4EBE1BDE-D4E2-4F2D-809D-8FAE57FF4EA1}"/>
    <cellStyle name="Normal 2 4 2 8" xfId="1194" xr:uid="{00000000-0005-0000-0000-0000C50F0000}"/>
    <cellStyle name="Normal 2 4 2 8 2" xfId="3424" xr:uid="{00000000-0005-0000-0000-0000C60F0000}"/>
    <cellStyle name="Normal 2 4 2 8 2 2" xfId="7648" xr:uid="{00000000-0005-0000-0000-0000C70F0000}"/>
    <cellStyle name="Normal 2 4 2 8 2 2 2" xfId="16077" xr:uid="{29A5B654-B8EB-4F68-8B79-83A1B527F78A}"/>
    <cellStyle name="Normal 2 4 2 8 2 3" xfId="11859" xr:uid="{A51EE136-D860-470C-9211-17246135B88E}"/>
    <cellStyle name="Normal 2 4 2 8 3" xfId="5503" xr:uid="{00000000-0005-0000-0000-0000C80F0000}"/>
    <cellStyle name="Normal 2 4 2 8 3 2" xfId="13932" xr:uid="{AAFB46BD-AFD2-47C1-9AC1-182FEDC01DEB}"/>
    <cellStyle name="Normal 2 4 2 8 4" xfId="9714" xr:uid="{8A028338-E7A6-44FC-B052-299ACF5EF81D}"/>
    <cellStyle name="Normal 2 4 2 9" xfId="1607" xr:uid="{00000000-0005-0000-0000-0000C90F0000}"/>
    <cellStyle name="Normal 2 4 2 9 2" xfId="3837" xr:uid="{00000000-0005-0000-0000-0000CA0F0000}"/>
    <cellStyle name="Normal 2 4 2 9 2 2" xfId="8061" xr:uid="{00000000-0005-0000-0000-0000CB0F0000}"/>
    <cellStyle name="Normal 2 4 2 9 2 2 2" xfId="16490" xr:uid="{6BD5D6E2-2F4F-4A12-BE18-B7C4A8205DD8}"/>
    <cellStyle name="Normal 2 4 2 9 2 3" xfId="12272" xr:uid="{F39DFF2F-3BB8-4DCE-831F-F955FC73A4EF}"/>
    <cellStyle name="Normal 2 4 2 9 3" xfId="5916" xr:uid="{00000000-0005-0000-0000-0000CC0F0000}"/>
    <cellStyle name="Normal 2 4 2 9 3 2" xfId="14345" xr:uid="{ECA113CF-048B-4D8A-B24A-F54772025878}"/>
    <cellStyle name="Normal 2 4 2 9 4" xfId="10127" xr:uid="{AFC7D3D0-17AA-4E30-89F8-E7AD574E6EEB}"/>
    <cellStyle name="Normal 2 4 3" xfId="296" xr:uid="{00000000-0005-0000-0000-0000CD0F0000}"/>
    <cellStyle name="Normal 2 4 3 10" xfId="8903" xr:uid="{6FE89835-798C-4791-960D-E90D55E1F896}"/>
    <cellStyle name="Normal 2 4 3 2" xfId="297" xr:uid="{00000000-0005-0000-0000-0000CE0F0000}"/>
    <cellStyle name="Normal 2 4 3 3" xfId="298" xr:uid="{00000000-0005-0000-0000-0000CF0F0000}"/>
    <cellStyle name="Normal 2 4 3 3 10" xfId="8904" xr:uid="{0A347E45-B145-4B17-909F-0CF524D1C7F2}"/>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2 2" xfId="15683" xr:uid="{4DC575AD-CDE7-4245-B2F6-263C4FFD87CD}"/>
    <cellStyle name="Normal 2 4 3 3 2 2 2 2 3" xfId="11465" xr:uid="{2CDAD310-4FEC-41E2-8C45-ECCEC62C2D60}"/>
    <cellStyle name="Normal 2 4 3 3 2 2 2 3" xfId="5109" xr:uid="{00000000-0005-0000-0000-0000D50F0000}"/>
    <cellStyle name="Normal 2 4 3 3 2 2 2 3 2" xfId="13538" xr:uid="{3EFCD7A2-0D3A-4A71-B74A-5315FB954AA1}"/>
    <cellStyle name="Normal 2 4 3 3 2 2 2 4" xfId="9320" xr:uid="{A8901DF6-EC19-4E11-9049-3A0F6F9DC4A8}"/>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2 2" xfId="16096" xr:uid="{F937349B-D8AA-42CE-B468-A537B6442F2A}"/>
    <cellStyle name="Normal 2 4 3 3 2 2 3 2 3" xfId="11878" xr:uid="{9044BAE1-479A-4905-9B04-AE559C774A86}"/>
    <cellStyle name="Normal 2 4 3 3 2 2 3 3" xfId="5522" xr:uid="{00000000-0005-0000-0000-0000D90F0000}"/>
    <cellStyle name="Normal 2 4 3 3 2 2 3 3 2" xfId="13951" xr:uid="{1CEC6E3F-FA27-4B78-9D5D-82067D558451}"/>
    <cellStyle name="Normal 2 4 3 3 2 2 3 4" xfId="9733" xr:uid="{A3B650CD-9D32-48D8-8A50-9169008C90D9}"/>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2 2" xfId="16509" xr:uid="{FA586F59-7113-45CE-A085-69F516A7AD5A}"/>
    <cellStyle name="Normal 2 4 3 3 2 2 4 2 3" xfId="12291" xr:uid="{6E062F46-0D15-41F3-BEE5-0F14F12605A4}"/>
    <cellStyle name="Normal 2 4 3 3 2 2 4 3" xfId="5935" xr:uid="{00000000-0005-0000-0000-0000DD0F0000}"/>
    <cellStyle name="Normal 2 4 3 3 2 2 4 3 2" xfId="14364" xr:uid="{11A190EA-3EBB-485B-A9A5-03C1DD835FF0}"/>
    <cellStyle name="Normal 2 4 3 3 2 2 4 4" xfId="10146" xr:uid="{0DA66C7F-8ABB-4980-8209-297A35576696}"/>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2 2" xfId="16922" xr:uid="{A823F642-D40E-418B-B05B-3010DC0485A6}"/>
    <cellStyle name="Normal 2 4 3 3 2 2 5 2 3" xfId="12704" xr:uid="{780CFA8A-CE78-4F3F-B363-4F41828A94CA}"/>
    <cellStyle name="Normal 2 4 3 3 2 2 5 3" xfId="6348" xr:uid="{00000000-0005-0000-0000-0000E10F0000}"/>
    <cellStyle name="Normal 2 4 3 3 2 2 5 3 2" xfId="14777" xr:uid="{C2C45CD8-4C55-49F7-8F26-291209B423CC}"/>
    <cellStyle name="Normal 2 4 3 3 2 2 5 4" xfId="10559" xr:uid="{166C8762-E166-4914-9EF6-ADE25D0E9810}"/>
    <cellStyle name="Normal 2 4 3 3 2 2 6" xfId="2476" xr:uid="{00000000-0005-0000-0000-0000E20F0000}"/>
    <cellStyle name="Normal 2 4 3 3 2 2 6 2" xfId="6761" xr:uid="{00000000-0005-0000-0000-0000E30F0000}"/>
    <cellStyle name="Normal 2 4 3 3 2 2 6 2 2" xfId="15190" xr:uid="{0E85AAAC-47CC-49A7-A3AA-94BC3A7D4B1E}"/>
    <cellStyle name="Normal 2 4 3 3 2 2 6 3" xfId="10972" xr:uid="{3816A2B0-C083-477D-9339-13CF9B54A8B3}"/>
    <cellStyle name="Normal 2 4 3 3 2 2 7" xfId="4695" xr:uid="{00000000-0005-0000-0000-0000E40F0000}"/>
    <cellStyle name="Normal 2 4 3 3 2 2 7 2" xfId="13124" xr:uid="{CF07EF00-CF5B-44E6-9AC3-9BC0041FFE84}"/>
    <cellStyle name="Normal 2 4 3 3 2 2 8" xfId="8906" xr:uid="{BA8FBEF3-5162-4415-BAF6-84130EC89522}"/>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2 2" xfId="15682" xr:uid="{9EF04D40-DF05-40C2-AC50-74E1BB18FDCD}"/>
    <cellStyle name="Normal 2 4 3 3 2 3 2 3" xfId="11464" xr:uid="{5159E79C-B58D-46FB-9346-234F8577FB5B}"/>
    <cellStyle name="Normal 2 4 3 3 2 3 3" xfId="5108" xr:uid="{00000000-0005-0000-0000-0000E80F0000}"/>
    <cellStyle name="Normal 2 4 3 3 2 3 3 2" xfId="13537" xr:uid="{F63F9D21-493E-43C6-BAA8-9196AACE0576}"/>
    <cellStyle name="Normal 2 4 3 3 2 3 4" xfId="9319" xr:uid="{E874F3F1-38B9-4864-8166-66115502BD55}"/>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2 2" xfId="16095" xr:uid="{909BAC4F-4E37-4A2A-B2B9-634885EFA64A}"/>
    <cellStyle name="Normal 2 4 3 3 2 4 2 3" xfId="11877" xr:uid="{685BB6F3-EFB4-49FB-B46B-CF22C5CEDA45}"/>
    <cellStyle name="Normal 2 4 3 3 2 4 3" xfId="5521" xr:uid="{00000000-0005-0000-0000-0000EC0F0000}"/>
    <cellStyle name="Normal 2 4 3 3 2 4 3 2" xfId="13950" xr:uid="{1C12474B-8274-4AE1-8E0E-B1E07DD7F8DF}"/>
    <cellStyle name="Normal 2 4 3 3 2 4 4" xfId="9732" xr:uid="{A546A192-CE14-4B39-AEC8-F2BCBD205698}"/>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2 2" xfId="16508" xr:uid="{EFFE2321-E573-485B-9407-3D0335F50B61}"/>
    <cellStyle name="Normal 2 4 3 3 2 5 2 3" xfId="12290" xr:uid="{227CB2E2-74AA-4520-BC56-726CAB4DD8DB}"/>
    <cellStyle name="Normal 2 4 3 3 2 5 3" xfId="5934" xr:uid="{00000000-0005-0000-0000-0000F00F0000}"/>
    <cellStyle name="Normal 2 4 3 3 2 5 3 2" xfId="14363" xr:uid="{17E9A92D-6885-4E99-B6F6-E7AAA836B79B}"/>
    <cellStyle name="Normal 2 4 3 3 2 5 4" xfId="10145" xr:uid="{00390217-CDFF-471F-A880-CCD84A0060F7}"/>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2 2" xfId="16921" xr:uid="{A9014E3A-4D7D-4293-83EB-D05C485D227A}"/>
    <cellStyle name="Normal 2 4 3 3 2 6 2 3" xfId="12703" xr:uid="{DE35F33F-C895-43FD-9BF2-6491D876BB51}"/>
    <cellStyle name="Normal 2 4 3 3 2 6 3" xfId="6347" xr:uid="{00000000-0005-0000-0000-0000F40F0000}"/>
    <cellStyle name="Normal 2 4 3 3 2 6 3 2" xfId="14776" xr:uid="{158EEBED-4B96-4CC5-991E-84BEB082BBAB}"/>
    <cellStyle name="Normal 2 4 3 3 2 6 4" xfId="10558" xr:uid="{ADC1FE24-D69F-424C-9958-E12D1352F658}"/>
    <cellStyle name="Normal 2 4 3 3 2 7" xfId="2475" xr:uid="{00000000-0005-0000-0000-0000F50F0000}"/>
    <cellStyle name="Normal 2 4 3 3 2 7 2" xfId="6760" xr:uid="{00000000-0005-0000-0000-0000F60F0000}"/>
    <cellStyle name="Normal 2 4 3 3 2 7 2 2" xfId="15189" xr:uid="{DDDF3527-E1AC-4911-8AB5-7A4645823A47}"/>
    <cellStyle name="Normal 2 4 3 3 2 7 3" xfId="10971" xr:uid="{ADA36E98-33BE-4C6D-AC4D-13B47E99B49A}"/>
    <cellStyle name="Normal 2 4 3 3 2 8" xfId="4694" xr:uid="{00000000-0005-0000-0000-0000F70F0000}"/>
    <cellStyle name="Normal 2 4 3 3 2 8 2" xfId="13123" xr:uid="{327F3BF1-75E1-49C3-9D83-CAE8CE482300}"/>
    <cellStyle name="Normal 2 4 3 3 2 9" xfId="8905" xr:uid="{997B6ACE-1D58-4AFC-B605-1AF7021DEC79}"/>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2 2" xfId="15684" xr:uid="{3CEB12BA-FB24-490A-ADD0-128CD4CDF28A}"/>
    <cellStyle name="Normal 2 4 3 3 3 2 2 3" xfId="11466" xr:uid="{E8275D25-50C0-4B83-84CF-8BA1A87CCD93}"/>
    <cellStyle name="Normal 2 4 3 3 3 2 3" xfId="5110" xr:uid="{00000000-0005-0000-0000-0000FC0F0000}"/>
    <cellStyle name="Normal 2 4 3 3 3 2 3 2" xfId="13539" xr:uid="{9C37A673-BA36-47B9-A44F-0ACE31ED0534}"/>
    <cellStyle name="Normal 2 4 3 3 3 2 4" xfId="9321" xr:uid="{922FA797-B15D-41D5-A63C-B69176FA2455}"/>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2 2" xfId="16097" xr:uid="{5675593E-E223-4FA5-863E-76A78FFD3563}"/>
    <cellStyle name="Normal 2 4 3 3 3 3 2 3" xfId="11879" xr:uid="{71D21392-1121-44CB-8012-0EC4C5EFED8B}"/>
    <cellStyle name="Normal 2 4 3 3 3 3 3" xfId="5523" xr:uid="{00000000-0005-0000-0000-000000100000}"/>
    <cellStyle name="Normal 2 4 3 3 3 3 3 2" xfId="13952" xr:uid="{D2B64E10-49D4-4BA7-94B6-EBE74650BD62}"/>
    <cellStyle name="Normal 2 4 3 3 3 3 4" xfId="9734" xr:uid="{C2805706-1A2A-4A2F-BBE9-149E9D3B2971}"/>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2 2" xfId="16510" xr:uid="{CC1EF730-12A7-4216-A576-E7C707DDF0CE}"/>
    <cellStyle name="Normal 2 4 3 3 3 4 2 3" xfId="12292" xr:uid="{7DA83157-EB0D-4EBF-8ED2-D0865BF70555}"/>
    <cellStyle name="Normal 2 4 3 3 3 4 3" xfId="5936" xr:uid="{00000000-0005-0000-0000-000004100000}"/>
    <cellStyle name="Normal 2 4 3 3 3 4 3 2" xfId="14365" xr:uid="{3EDC62A3-6AD8-49A6-846C-CFD981341E3C}"/>
    <cellStyle name="Normal 2 4 3 3 3 4 4" xfId="10147" xr:uid="{6AD996A4-F335-4F07-80DC-F8F664E3FBA1}"/>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2 2" xfId="16923" xr:uid="{76440CA4-52E4-433E-A0B8-D3B12658B068}"/>
    <cellStyle name="Normal 2 4 3 3 3 5 2 3" xfId="12705" xr:uid="{12BB39AD-7257-4604-8936-402B502B235D}"/>
    <cellStyle name="Normal 2 4 3 3 3 5 3" xfId="6349" xr:uid="{00000000-0005-0000-0000-000008100000}"/>
    <cellStyle name="Normal 2 4 3 3 3 5 3 2" xfId="14778" xr:uid="{A6508F9D-2E07-423E-A7DE-BAB641CE1BAE}"/>
    <cellStyle name="Normal 2 4 3 3 3 5 4" xfId="10560" xr:uid="{FEEE4DD0-9043-4EB3-943C-93350C3E080E}"/>
    <cellStyle name="Normal 2 4 3 3 3 6" xfId="2477" xr:uid="{00000000-0005-0000-0000-000009100000}"/>
    <cellStyle name="Normal 2 4 3 3 3 6 2" xfId="6762" xr:uid="{00000000-0005-0000-0000-00000A100000}"/>
    <cellStyle name="Normal 2 4 3 3 3 6 2 2" xfId="15191" xr:uid="{8D61B64D-1987-4090-BC20-0369C0B67637}"/>
    <cellStyle name="Normal 2 4 3 3 3 6 3" xfId="10973" xr:uid="{D3B315B2-613C-4315-B091-3FA80B6A8007}"/>
    <cellStyle name="Normal 2 4 3 3 3 7" xfId="4696" xr:uid="{00000000-0005-0000-0000-00000B100000}"/>
    <cellStyle name="Normal 2 4 3 3 3 7 2" xfId="13125" xr:uid="{0D3F5EAD-0A54-43EC-9988-BAF374102CC4}"/>
    <cellStyle name="Normal 2 4 3 3 3 8" xfId="8907" xr:uid="{2243107C-5117-4B36-BA2F-D0BDB7A4EA5B}"/>
    <cellStyle name="Normal 2 4 3 3 4" xfId="789" xr:uid="{00000000-0005-0000-0000-00000C100000}"/>
    <cellStyle name="Normal 2 4 3 3 4 2" xfId="3028" xr:uid="{00000000-0005-0000-0000-00000D100000}"/>
    <cellStyle name="Normal 2 4 3 3 4 2 2" xfId="7252" xr:uid="{00000000-0005-0000-0000-00000E100000}"/>
    <cellStyle name="Normal 2 4 3 3 4 2 2 2" xfId="15681" xr:uid="{EDCED1D8-05AD-4C80-81C4-F814542B2150}"/>
    <cellStyle name="Normal 2 4 3 3 4 2 3" xfId="11463" xr:uid="{57397E8A-97BB-434E-91ED-66B547F01B33}"/>
    <cellStyle name="Normal 2 4 3 3 4 3" xfId="5107" xr:uid="{00000000-0005-0000-0000-00000F100000}"/>
    <cellStyle name="Normal 2 4 3 3 4 3 2" xfId="13536" xr:uid="{5D674058-444F-469F-8281-18DC9E07126D}"/>
    <cellStyle name="Normal 2 4 3 3 4 4" xfId="9318" xr:uid="{9688C86B-B0C0-4616-99D2-3B328C5FF7EB}"/>
    <cellStyle name="Normal 2 4 3 3 5" xfId="1211" xr:uid="{00000000-0005-0000-0000-000010100000}"/>
    <cellStyle name="Normal 2 4 3 3 5 2" xfId="3441" xr:uid="{00000000-0005-0000-0000-000011100000}"/>
    <cellStyle name="Normal 2 4 3 3 5 2 2" xfId="7665" xr:uid="{00000000-0005-0000-0000-000012100000}"/>
    <cellStyle name="Normal 2 4 3 3 5 2 2 2" xfId="16094" xr:uid="{E430C91D-683F-4F7A-802B-97FE26435830}"/>
    <cellStyle name="Normal 2 4 3 3 5 2 3" xfId="11876" xr:uid="{A4CCB752-E4CA-40CF-83CF-F0509C39A66B}"/>
    <cellStyle name="Normal 2 4 3 3 5 3" xfId="5520" xr:uid="{00000000-0005-0000-0000-000013100000}"/>
    <cellStyle name="Normal 2 4 3 3 5 3 2" xfId="13949" xr:uid="{A0D33457-5B51-4033-8B58-D25CDFA823A3}"/>
    <cellStyle name="Normal 2 4 3 3 5 4" xfId="9731" xr:uid="{4EBDE0A5-CC85-4E79-A880-5A4751A57A82}"/>
    <cellStyle name="Normal 2 4 3 3 6" xfId="1624" xr:uid="{00000000-0005-0000-0000-000014100000}"/>
    <cellStyle name="Normal 2 4 3 3 6 2" xfId="3854" xr:uid="{00000000-0005-0000-0000-000015100000}"/>
    <cellStyle name="Normal 2 4 3 3 6 2 2" xfId="8078" xr:uid="{00000000-0005-0000-0000-000016100000}"/>
    <cellStyle name="Normal 2 4 3 3 6 2 2 2" xfId="16507" xr:uid="{B153487F-EA25-461D-BA48-8FB61D8A01C9}"/>
    <cellStyle name="Normal 2 4 3 3 6 2 3" xfId="12289" xr:uid="{22C120C5-0849-4F1B-B981-DA10677D21C6}"/>
    <cellStyle name="Normal 2 4 3 3 6 3" xfId="5933" xr:uid="{00000000-0005-0000-0000-000017100000}"/>
    <cellStyle name="Normal 2 4 3 3 6 3 2" xfId="14362" xr:uid="{360601AC-4F00-4AA5-B344-5A9AEE063126}"/>
    <cellStyle name="Normal 2 4 3 3 6 4" xfId="10144" xr:uid="{AEED9467-BF82-43AD-9E19-1DAFC399A788}"/>
    <cellStyle name="Normal 2 4 3 3 7" xfId="2038" xr:uid="{00000000-0005-0000-0000-000018100000}"/>
    <cellStyle name="Normal 2 4 3 3 7 2" xfId="4267" xr:uid="{00000000-0005-0000-0000-000019100000}"/>
    <cellStyle name="Normal 2 4 3 3 7 2 2" xfId="8491" xr:uid="{00000000-0005-0000-0000-00001A100000}"/>
    <cellStyle name="Normal 2 4 3 3 7 2 2 2" xfId="16920" xr:uid="{807CF597-DA2A-41AE-8C0D-BE60E5757831}"/>
    <cellStyle name="Normal 2 4 3 3 7 2 3" xfId="12702" xr:uid="{90FA2901-C368-452A-BC1C-547D5A749017}"/>
    <cellStyle name="Normal 2 4 3 3 7 3" xfId="6346" xr:uid="{00000000-0005-0000-0000-00001B100000}"/>
    <cellStyle name="Normal 2 4 3 3 7 3 2" xfId="14775" xr:uid="{7C614B82-9556-4F05-841D-09CEF1991558}"/>
    <cellStyle name="Normal 2 4 3 3 7 4" xfId="10557" xr:uid="{26FAD605-38B7-42F4-8763-17F443772FA2}"/>
    <cellStyle name="Normal 2 4 3 3 8" xfId="2474" xr:uid="{00000000-0005-0000-0000-00001C100000}"/>
    <cellStyle name="Normal 2 4 3 3 8 2" xfId="6759" xr:uid="{00000000-0005-0000-0000-00001D100000}"/>
    <cellStyle name="Normal 2 4 3 3 8 2 2" xfId="15188" xr:uid="{4F61DEF0-1500-4BEB-B42E-69ACF11E9F8A}"/>
    <cellStyle name="Normal 2 4 3 3 8 3" xfId="10970" xr:uid="{C17700DA-7C56-4B47-869D-C1E1A05E9AE8}"/>
    <cellStyle name="Normal 2 4 3 3 9" xfId="4693" xr:uid="{00000000-0005-0000-0000-00001E100000}"/>
    <cellStyle name="Normal 2 4 3 3 9 2" xfId="13122" xr:uid="{425B5702-865A-4181-8A30-891D516A8475}"/>
    <cellStyle name="Normal 2 4 3 4" xfId="788" xr:uid="{00000000-0005-0000-0000-00001F100000}"/>
    <cellStyle name="Normal 2 4 3 4 2" xfId="3027" xr:uid="{00000000-0005-0000-0000-000020100000}"/>
    <cellStyle name="Normal 2 4 3 4 2 2" xfId="7251" xr:uid="{00000000-0005-0000-0000-000021100000}"/>
    <cellStyle name="Normal 2 4 3 4 2 2 2" xfId="15680" xr:uid="{4217A4F2-0AD6-42EE-A592-BAB556CA424B}"/>
    <cellStyle name="Normal 2 4 3 4 2 3" xfId="11462" xr:uid="{40799D9D-005A-4153-A48D-159DCE06CEB6}"/>
    <cellStyle name="Normal 2 4 3 4 3" xfId="5106" xr:uid="{00000000-0005-0000-0000-000022100000}"/>
    <cellStyle name="Normal 2 4 3 4 3 2" xfId="13535" xr:uid="{46E385C2-3184-478E-9048-E9A70B41C3C7}"/>
    <cellStyle name="Normal 2 4 3 4 4" xfId="9317" xr:uid="{2763FB00-F0E0-473C-B554-DDBD69EFF3DB}"/>
    <cellStyle name="Normal 2 4 3 5" xfId="1210" xr:uid="{00000000-0005-0000-0000-000023100000}"/>
    <cellStyle name="Normal 2 4 3 5 2" xfId="3440" xr:uid="{00000000-0005-0000-0000-000024100000}"/>
    <cellStyle name="Normal 2 4 3 5 2 2" xfId="7664" xr:uid="{00000000-0005-0000-0000-000025100000}"/>
    <cellStyle name="Normal 2 4 3 5 2 2 2" xfId="16093" xr:uid="{2DB5904C-8423-42AE-B8D2-4C94F63EC3AE}"/>
    <cellStyle name="Normal 2 4 3 5 2 3" xfId="11875" xr:uid="{D2A49E24-B652-412A-90FC-EA969510DD04}"/>
    <cellStyle name="Normal 2 4 3 5 3" xfId="5519" xr:uid="{00000000-0005-0000-0000-000026100000}"/>
    <cellStyle name="Normal 2 4 3 5 3 2" xfId="13948" xr:uid="{53EB7633-147F-4AB2-85F1-40FEDAA06740}"/>
    <cellStyle name="Normal 2 4 3 5 4" xfId="9730" xr:uid="{E46D7704-EBE2-40C4-8EC8-771EDF18FD68}"/>
    <cellStyle name="Normal 2 4 3 6" xfId="1623" xr:uid="{00000000-0005-0000-0000-000027100000}"/>
    <cellStyle name="Normal 2 4 3 6 2" xfId="3853" xr:uid="{00000000-0005-0000-0000-000028100000}"/>
    <cellStyle name="Normal 2 4 3 6 2 2" xfId="8077" xr:uid="{00000000-0005-0000-0000-000029100000}"/>
    <cellStyle name="Normal 2 4 3 6 2 2 2" xfId="16506" xr:uid="{E21AD82E-1B6C-48C3-93AF-9113CC12287E}"/>
    <cellStyle name="Normal 2 4 3 6 2 3" xfId="12288" xr:uid="{6FDD8BB8-B729-4674-BF01-D5656E9748F0}"/>
    <cellStyle name="Normal 2 4 3 6 3" xfId="5932" xr:uid="{00000000-0005-0000-0000-00002A100000}"/>
    <cellStyle name="Normal 2 4 3 6 3 2" xfId="14361" xr:uid="{E907526C-E34E-4E49-8D2F-FC6CF136E1CB}"/>
    <cellStyle name="Normal 2 4 3 6 4" xfId="10143" xr:uid="{461B853A-B064-457B-9444-7F228A416BAE}"/>
    <cellStyle name="Normal 2 4 3 7" xfId="2037" xr:uid="{00000000-0005-0000-0000-00002B100000}"/>
    <cellStyle name="Normal 2 4 3 7 2" xfId="4266" xr:uid="{00000000-0005-0000-0000-00002C100000}"/>
    <cellStyle name="Normal 2 4 3 7 2 2" xfId="8490" xr:uid="{00000000-0005-0000-0000-00002D100000}"/>
    <cellStyle name="Normal 2 4 3 7 2 2 2" xfId="16919" xr:uid="{A4C22973-038D-4048-A45D-075AB56783B2}"/>
    <cellStyle name="Normal 2 4 3 7 2 3" xfId="12701" xr:uid="{E83415B5-82DD-4EDA-BD56-1DCC6CCAA5FB}"/>
    <cellStyle name="Normal 2 4 3 7 3" xfId="6345" xr:uid="{00000000-0005-0000-0000-00002E100000}"/>
    <cellStyle name="Normal 2 4 3 7 3 2" xfId="14774" xr:uid="{5E5B26ED-F07D-44AD-8515-67A76E44C064}"/>
    <cellStyle name="Normal 2 4 3 7 4" xfId="10556" xr:uid="{31069241-62A3-4D60-ABAF-6DFB115FCBAE}"/>
    <cellStyle name="Normal 2 4 3 8" xfId="2473" xr:uid="{00000000-0005-0000-0000-00002F100000}"/>
    <cellStyle name="Normal 2 4 3 8 2" xfId="6758" xr:uid="{00000000-0005-0000-0000-000030100000}"/>
    <cellStyle name="Normal 2 4 3 8 2 2" xfId="15187" xr:uid="{9EA9E60C-302F-44F6-AD14-2E3EDF299325}"/>
    <cellStyle name="Normal 2 4 3 8 3" xfId="10969" xr:uid="{B0CBB607-D470-4042-BB2A-6794EF1A561A}"/>
    <cellStyle name="Normal 2 4 3 9" xfId="4692" xr:uid="{00000000-0005-0000-0000-000031100000}"/>
    <cellStyle name="Normal 2 4 3 9 2" xfId="13121" xr:uid="{788E9480-EC17-4C8E-BC96-93CB3CDF67F0}"/>
    <cellStyle name="Normal 2 4 4" xfId="302" xr:uid="{00000000-0005-0000-0000-000032100000}"/>
    <cellStyle name="Normal 2 4 5" xfId="303" xr:uid="{00000000-0005-0000-0000-000033100000}"/>
    <cellStyle name="Normal 2 4 5 10" xfId="4697" xr:uid="{00000000-0005-0000-0000-000034100000}"/>
    <cellStyle name="Normal 2 4 5 10 2" xfId="13126" xr:uid="{9886CA28-7C58-4405-82EB-CF03821C7162}"/>
    <cellStyle name="Normal 2 4 5 11" xfId="8908" xr:uid="{DCCFC436-56CB-494C-A752-63A2F0EA45BA}"/>
    <cellStyle name="Normal 2 4 5 2" xfId="304" xr:uid="{00000000-0005-0000-0000-000035100000}"/>
    <cellStyle name="Normal 2 4 5 2 10" xfId="8909" xr:uid="{C7A96A56-C853-41B5-8C25-04D1786725AE}"/>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2 2" xfId="15688" xr:uid="{E09543E3-17DC-4C0E-95F4-D0D555B33E4A}"/>
    <cellStyle name="Normal 2 4 5 2 2 2 2 2 3" xfId="11470" xr:uid="{5DE3AAF6-D1B5-4EE4-96D7-69C44AC37B23}"/>
    <cellStyle name="Normal 2 4 5 2 2 2 2 3" xfId="5114" xr:uid="{00000000-0005-0000-0000-00003B100000}"/>
    <cellStyle name="Normal 2 4 5 2 2 2 2 3 2" xfId="13543" xr:uid="{8F9E5224-79B7-4439-AEFF-5C5C06E9783C}"/>
    <cellStyle name="Normal 2 4 5 2 2 2 2 4" xfId="9325" xr:uid="{36BD31FD-B040-4B54-A5FD-1235DCFA0734}"/>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2 2" xfId="16101" xr:uid="{FBDF61E6-188B-4E85-B2D9-65C5A2C3B873}"/>
    <cellStyle name="Normal 2 4 5 2 2 2 3 2 3" xfId="11883" xr:uid="{A908F27C-F384-48E0-A88A-D449CB461D41}"/>
    <cellStyle name="Normal 2 4 5 2 2 2 3 3" xfId="5527" xr:uid="{00000000-0005-0000-0000-00003F100000}"/>
    <cellStyle name="Normal 2 4 5 2 2 2 3 3 2" xfId="13956" xr:uid="{DC0B1D4E-866D-4134-84C0-CF1FB7896B57}"/>
    <cellStyle name="Normal 2 4 5 2 2 2 3 4" xfId="9738" xr:uid="{98913945-28FE-4DB6-8167-3291162C78EE}"/>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2 2" xfId="16514" xr:uid="{0E02BB0E-4FC2-42D7-9E72-9FFB728530CE}"/>
    <cellStyle name="Normal 2 4 5 2 2 2 4 2 3" xfId="12296" xr:uid="{40FCCB50-5A79-4B94-98AD-8F462752F9F0}"/>
    <cellStyle name="Normal 2 4 5 2 2 2 4 3" xfId="5940" xr:uid="{00000000-0005-0000-0000-000043100000}"/>
    <cellStyle name="Normal 2 4 5 2 2 2 4 3 2" xfId="14369" xr:uid="{2D107BCA-FEE5-4BA9-9CEE-3F1D802EAA60}"/>
    <cellStyle name="Normal 2 4 5 2 2 2 4 4" xfId="10151" xr:uid="{FDF773F9-7A30-4303-A5F5-460E129417E5}"/>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2 2" xfId="16927" xr:uid="{1BAC7EC8-0BF7-4133-8A57-61A582C8EF06}"/>
    <cellStyle name="Normal 2 4 5 2 2 2 5 2 3" xfId="12709" xr:uid="{7A1A4BDC-3BE6-4AA8-9A69-061A3F9C12DD}"/>
    <cellStyle name="Normal 2 4 5 2 2 2 5 3" xfId="6353" xr:uid="{00000000-0005-0000-0000-000047100000}"/>
    <cellStyle name="Normal 2 4 5 2 2 2 5 3 2" xfId="14782" xr:uid="{C6D82E1A-36E1-4A2F-8C15-889730C51654}"/>
    <cellStyle name="Normal 2 4 5 2 2 2 5 4" xfId="10564" xr:uid="{17CC579D-235F-48B4-9D99-BE3683C2191D}"/>
    <cellStyle name="Normal 2 4 5 2 2 2 6" xfId="2481" xr:uid="{00000000-0005-0000-0000-000048100000}"/>
    <cellStyle name="Normal 2 4 5 2 2 2 6 2" xfId="6766" xr:uid="{00000000-0005-0000-0000-000049100000}"/>
    <cellStyle name="Normal 2 4 5 2 2 2 6 2 2" xfId="15195" xr:uid="{F16742FE-D893-4D14-B440-A679ED3C0118}"/>
    <cellStyle name="Normal 2 4 5 2 2 2 6 3" xfId="10977" xr:uid="{93CB0BA7-C3D5-44AB-B63A-0909BAEECD8A}"/>
    <cellStyle name="Normal 2 4 5 2 2 2 7" xfId="4700" xr:uid="{00000000-0005-0000-0000-00004A100000}"/>
    <cellStyle name="Normal 2 4 5 2 2 2 7 2" xfId="13129" xr:uid="{16E0D4FD-D51F-416B-B387-262C72EA6E36}"/>
    <cellStyle name="Normal 2 4 5 2 2 2 8" xfId="8911" xr:uid="{1329B2A6-C938-4CE1-A7A1-EF93120C082A}"/>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2 2" xfId="15687" xr:uid="{FAA0F07C-CD6D-4BEB-9D63-D97346190D17}"/>
    <cellStyle name="Normal 2 4 5 2 2 3 2 3" xfId="11469" xr:uid="{5C5FF32B-052A-4824-BB79-A17D4249596A}"/>
    <cellStyle name="Normal 2 4 5 2 2 3 3" xfId="5113" xr:uid="{00000000-0005-0000-0000-00004E100000}"/>
    <cellStyle name="Normal 2 4 5 2 2 3 3 2" xfId="13542" xr:uid="{46D9B370-A573-41CA-90C2-E4B278C8A185}"/>
    <cellStyle name="Normal 2 4 5 2 2 3 4" xfId="9324" xr:uid="{C4ABF76D-F4C0-476B-B94A-E3B8D00A6164}"/>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2 2" xfId="16100" xr:uid="{D3C2D19E-86C7-4EA1-A908-B4CCF80E836A}"/>
    <cellStyle name="Normal 2 4 5 2 2 4 2 3" xfId="11882" xr:uid="{0BE84BA1-2387-4D71-BC7B-BD28E40DF5FA}"/>
    <cellStyle name="Normal 2 4 5 2 2 4 3" xfId="5526" xr:uid="{00000000-0005-0000-0000-000052100000}"/>
    <cellStyle name="Normal 2 4 5 2 2 4 3 2" xfId="13955" xr:uid="{CAEA1A2F-5138-4EF6-8B4E-BF62023EBE3B}"/>
    <cellStyle name="Normal 2 4 5 2 2 4 4" xfId="9737" xr:uid="{820152E3-90DD-4672-A190-B9953ACC97FA}"/>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2 2" xfId="16513" xr:uid="{74D3514C-7FDF-4578-8338-8966098C0010}"/>
    <cellStyle name="Normal 2 4 5 2 2 5 2 3" xfId="12295" xr:uid="{A9BD9C36-795B-4553-AFF8-2EB7D0984957}"/>
    <cellStyle name="Normal 2 4 5 2 2 5 3" xfId="5939" xr:uid="{00000000-0005-0000-0000-000056100000}"/>
    <cellStyle name="Normal 2 4 5 2 2 5 3 2" xfId="14368" xr:uid="{D7ABC864-4F35-4B7B-9B1F-F883E6D9E896}"/>
    <cellStyle name="Normal 2 4 5 2 2 5 4" xfId="10150" xr:uid="{0802CF31-0DCA-44C7-B187-1ED98D91B2CD}"/>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2 2" xfId="16926" xr:uid="{7010E8C2-ECFD-4A34-9477-E4AC65B40930}"/>
    <cellStyle name="Normal 2 4 5 2 2 6 2 3" xfId="12708" xr:uid="{4433915C-FE38-449D-AFC8-AF5B62CBB2C0}"/>
    <cellStyle name="Normal 2 4 5 2 2 6 3" xfId="6352" xr:uid="{00000000-0005-0000-0000-00005A100000}"/>
    <cellStyle name="Normal 2 4 5 2 2 6 3 2" xfId="14781" xr:uid="{2B0E63C2-C588-4C18-9C10-CC3E91C068B6}"/>
    <cellStyle name="Normal 2 4 5 2 2 6 4" xfId="10563" xr:uid="{F6530BFC-9370-4FF9-AC78-5063B4DD3060}"/>
    <cellStyle name="Normal 2 4 5 2 2 7" xfId="2480" xr:uid="{00000000-0005-0000-0000-00005B100000}"/>
    <cellStyle name="Normal 2 4 5 2 2 7 2" xfId="6765" xr:uid="{00000000-0005-0000-0000-00005C100000}"/>
    <cellStyle name="Normal 2 4 5 2 2 7 2 2" xfId="15194" xr:uid="{9880C3A4-34D6-4F4C-B6E3-C1481C4657DF}"/>
    <cellStyle name="Normal 2 4 5 2 2 7 3" xfId="10976" xr:uid="{F907443F-59C7-4BE6-A62F-FACCAC1786FC}"/>
    <cellStyle name="Normal 2 4 5 2 2 8" xfId="4699" xr:uid="{00000000-0005-0000-0000-00005D100000}"/>
    <cellStyle name="Normal 2 4 5 2 2 8 2" xfId="13128" xr:uid="{299ABD4C-0E7C-4987-9100-86F37E7894AD}"/>
    <cellStyle name="Normal 2 4 5 2 2 9" xfId="8910" xr:uid="{550C3B31-88C0-4CE8-A041-A2602634357B}"/>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2 2" xfId="15689" xr:uid="{84B8CA87-6D75-477C-A0AA-588BB48FB9C2}"/>
    <cellStyle name="Normal 2 4 5 2 3 2 2 3" xfId="11471" xr:uid="{58F96ECA-49C1-40B0-AD3F-DEEA3B9432DF}"/>
    <cellStyle name="Normal 2 4 5 2 3 2 3" xfId="5115" xr:uid="{00000000-0005-0000-0000-000062100000}"/>
    <cellStyle name="Normal 2 4 5 2 3 2 3 2" xfId="13544" xr:uid="{CA47862C-783E-4B6F-891C-DF57474DD6C4}"/>
    <cellStyle name="Normal 2 4 5 2 3 2 4" xfId="9326" xr:uid="{FBC44FC5-A2A9-47DA-91D2-E28E5D994996}"/>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2 2" xfId="16102" xr:uid="{CB13197C-D731-4AA3-9EC3-1C761889A845}"/>
    <cellStyle name="Normal 2 4 5 2 3 3 2 3" xfId="11884" xr:uid="{7F65D444-7D6A-414F-9DBF-C8ABE5AEBE5F}"/>
    <cellStyle name="Normal 2 4 5 2 3 3 3" xfId="5528" xr:uid="{00000000-0005-0000-0000-000066100000}"/>
    <cellStyle name="Normal 2 4 5 2 3 3 3 2" xfId="13957" xr:uid="{1116153A-05A2-40C8-A834-094DBF86DD7B}"/>
    <cellStyle name="Normal 2 4 5 2 3 3 4" xfId="9739" xr:uid="{2EB626F7-4529-4D30-A345-B817F25F8065}"/>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2 2" xfId="16515" xr:uid="{2A7E732E-8E64-4DF2-B855-A6CD6E696081}"/>
    <cellStyle name="Normal 2 4 5 2 3 4 2 3" xfId="12297" xr:uid="{D9CD1920-23F6-417B-9636-1D6F4F0B1A11}"/>
    <cellStyle name="Normal 2 4 5 2 3 4 3" xfId="5941" xr:uid="{00000000-0005-0000-0000-00006A100000}"/>
    <cellStyle name="Normal 2 4 5 2 3 4 3 2" xfId="14370" xr:uid="{212894B0-5324-455B-9ECC-7FCBD146011C}"/>
    <cellStyle name="Normal 2 4 5 2 3 4 4" xfId="10152" xr:uid="{801D4C98-F64C-4178-AABA-1477B8622CDC}"/>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2 2" xfId="16928" xr:uid="{659671E3-9CE8-47CD-A957-AF712CB98DF3}"/>
    <cellStyle name="Normal 2 4 5 2 3 5 2 3" xfId="12710" xr:uid="{E7C2E14D-FF78-4A2D-AD39-89E42D113A2F}"/>
    <cellStyle name="Normal 2 4 5 2 3 5 3" xfId="6354" xr:uid="{00000000-0005-0000-0000-00006E100000}"/>
    <cellStyle name="Normal 2 4 5 2 3 5 3 2" xfId="14783" xr:uid="{945E5FB8-C9D7-4101-96EE-68745B8AA659}"/>
    <cellStyle name="Normal 2 4 5 2 3 5 4" xfId="10565" xr:uid="{49E168F7-9202-401D-A1A2-2A256F89D05E}"/>
    <cellStyle name="Normal 2 4 5 2 3 6" xfId="2482" xr:uid="{00000000-0005-0000-0000-00006F100000}"/>
    <cellStyle name="Normal 2 4 5 2 3 6 2" xfId="6767" xr:uid="{00000000-0005-0000-0000-000070100000}"/>
    <cellStyle name="Normal 2 4 5 2 3 6 2 2" xfId="15196" xr:uid="{47AF6441-35A2-460B-A695-84E06CD3D2F9}"/>
    <cellStyle name="Normal 2 4 5 2 3 6 3" xfId="10978" xr:uid="{895A9C33-4F56-46AB-A387-D4CC52D9346D}"/>
    <cellStyle name="Normal 2 4 5 2 3 7" xfId="4701" xr:uid="{00000000-0005-0000-0000-000071100000}"/>
    <cellStyle name="Normal 2 4 5 2 3 7 2" xfId="13130" xr:uid="{CBA98EF0-93FE-4027-989D-E4D58E833EE0}"/>
    <cellStyle name="Normal 2 4 5 2 3 8" xfId="8912" xr:uid="{D6B9D162-4023-4182-A78A-EF546E42A21F}"/>
    <cellStyle name="Normal 2 4 5 2 4" xfId="794" xr:uid="{00000000-0005-0000-0000-000072100000}"/>
    <cellStyle name="Normal 2 4 5 2 4 2" xfId="3033" xr:uid="{00000000-0005-0000-0000-000073100000}"/>
    <cellStyle name="Normal 2 4 5 2 4 2 2" xfId="7257" xr:uid="{00000000-0005-0000-0000-000074100000}"/>
    <cellStyle name="Normal 2 4 5 2 4 2 2 2" xfId="15686" xr:uid="{010F534A-ECE6-492E-8E9C-6FA2EBAE18DC}"/>
    <cellStyle name="Normal 2 4 5 2 4 2 3" xfId="11468" xr:uid="{789AED9A-41D6-492F-8EE9-53DBE233F3D2}"/>
    <cellStyle name="Normal 2 4 5 2 4 3" xfId="5112" xr:uid="{00000000-0005-0000-0000-000075100000}"/>
    <cellStyle name="Normal 2 4 5 2 4 3 2" xfId="13541" xr:uid="{F15848F8-48B5-45AB-B98A-EDECE8705675}"/>
    <cellStyle name="Normal 2 4 5 2 4 4" xfId="9323" xr:uid="{909BC358-4ECE-4E30-A2E2-168BE8083B86}"/>
    <cellStyle name="Normal 2 4 5 2 5" xfId="1216" xr:uid="{00000000-0005-0000-0000-000076100000}"/>
    <cellStyle name="Normal 2 4 5 2 5 2" xfId="3446" xr:uid="{00000000-0005-0000-0000-000077100000}"/>
    <cellStyle name="Normal 2 4 5 2 5 2 2" xfId="7670" xr:uid="{00000000-0005-0000-0000-000078100000}"/>
    <cellStyle name="Normal 2 4 5 2 5 2 2 2" xfId="16099" xr:uid="{060AD2ED-C2F5-4414-89BC-A4A6F9C18943}"/>
    <cellStyle name="Normal 2 4 5 2 5 2 3" xfId="11881" xr:uid="{3097C8E0-88BB-44EC-9B90-A627E279565A}"/>
    <cellStyle name="Normal 2 4 5 2 5 3" xfId="5525" xr:uid="{00000000-0005-0000-0000-000079100000}"/>
    <cellStyle name="Normal 2 4 5 2 5 3 2" xfId="13954" xr:uid="{5ACF8DB0-949E-4974-BFCA-21432FB9A82E}"/>
    <cellStyle name="Normal 2 4 5 2 5 4" xfId="9736" xr:uid="{517941FE-9ACE-4DD5-9938-26FE877EDE57}"/>
    <cellStyle name="Normal 2 4 5 2 6" xfId="1629" xr:uid="{00000000-0005-0000-0000-00007A100000}"/>
    <cellStyle name="Normal 2 4 5 2 6 2" xfId="3859" xr:uid="{00000000-0005-0000-0000-00007B100000}"/>
    <cellStyle name="Normal 2 4 5 2 6 2 2" xfId="8083" xr:uid="{00000000-0005-0000-0000-00007C100000}"/>
    <cellStyle name="Normal 2 4 5 2 6 2 2 2" xfId="16512" xr:uid="{463F0067-7655-476A-B05D-042DE8081D96}"/>
    <cellStyle name="Normal 2 4 5 2 6 2 3" xfId="12294" xr:uid="{3CCDD300-3B5C-428D-AD75-B4BDBFCEC75B}"/>
    <cellStyle name="Normal 2 4 5 2 6 3" xfId="5938" xr:uid="{00000000-0005-0000-0000-00007D100000}"/>
    <cellStyle name="Normal 2 4 5 2 6 3 2" xfId="14367" xr:uid="{CCDD834D-34EE-4610-852E-C6AF95F65912}"/>
    <cellStyle name="Normal 2 4 5 2 6 4" xfId="10149" xr:uid="{EE025A2B-1173-4E00-9C3A-73E1395F7EE6}"/>
    <cellStyle name="Normal 2 4 5 2 7" xfId="2043" xr:uid="{00000000-0005-0000-0000-00007E100000}"/>
    <cellStyle name="Normal 2 4 5 2 7 2" xfId="4272" xr:uid="{00000000-0005-0000-0000-00007F100000}"/>
    <cellStyle name="Normal 2 4 5 2 7 2 2" xfId="8496" xr:uid="{00000000-0005-0000-0000-000080100000}"/>
    <cellStyle name="Normal 2 4 5 2 7 2 2 2" xfId="16925" xr:uid="{7D90F437-6E54-470A-B2F9-B04CE4575CB8}"/>
    <cellStyle name="Normal 2 4 5 2 7 2 3" xfId="12707" xr:uid="{1F7948AB-1D71-4475-9164-0D7F8FA90ED9}"/>
    <cellStyle name="Normal 2 4 5 2 7 3" xfId="6351" xr:uid="{00000000-0005-0000-0000-000081100000}"/>
    <cellStyle name="Normal 2 4 5 2 7 3 2" xfId="14780" xr:uid="{3AFB8B38-BC5B-405F-AE1A-51BDFF139805}"/>
    <cellStyle name="Normal 2 4 5 2 7 4" xfId="10562" xr:uid="{288976D6-FBB1-4DD6-8230-C26543D2AC72}"/>
    <cellStyle name="Normal 2 4 5 2 8" xfId="2479" xr:uid="{00000000-0005-0000-0000-000082100000}"/>
    <cellStyle name="Normal 2 4 5 2 8 2" xfId="6764" xr:uid="{00000000-0005-0000-0000-000083100000}"/>
    <cellStyle name="Normal 2 4 5 2 8 2 2" xfId="15193" xr:uid="{F1AF4620-09F8-4775-840B-EDEECFD0CF41}"/>
    <cellStyle name="Normal 2 4 5 2 8 3" xfId="10975" xr:uid="{7FE1AA83-62D7-4DF6-9143-7C6A55165D7D}"/>
    <cellStyle name="Normal 2 4 5 2 9" xfId="4698" xr:uid="{00000000-0005-0000-0000-000084100000}"/>
    <cellStyle name="Normal 2 4 5 2 9 2" xfId="13127" xr:uid="{E3CEB4F9-57E6-44EA-AD4C-3EEBBD7ED932}"/>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2 2" xfId="15691" xr:uid="{D55D784B-C2EE-4C66-B2EC-0EF1F0502738}"/>
    <cellStyle name="Normal 2 4 5 3 2 2 2 3" xfId="11473" xr:uid="{3029A2F5-1FEF-4087-B064-E2D0423A2D3D}"/>
    <cellStyle name="Normal 2 4 5 3 2 2 3" xfId="5117" xr:uid="{00000000-0005-0000-0000-00008A100000}"/>
    <cellStyle name="Normal 2 4 5 3 2 2 3 2" xfId="13546" xr:uid="{70B41083-2E9E-4907-B48F-6658B3F54438}"/>
    <cellStyle name="Normal 2 4 5 3 2 2 4" xfId="9328" xr:uid="{8A0BF04E-154B-4DBF-A63B-0351F76283B8}"/>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2 2" xfId="16104" xr:uid="{5C2BC666-2F82-4D29-935E-0BB2E339B490}"/>
    <cellStyle name="Normal 2 4 5 3 2 3 2 3" xfId="11886" xr:uid="{E7E33859-E0CE-4002-AB1A-9C87D64E5390}"/>
    <cellStyle name="Normal 2 4 5 3 2 3 3" xfId="5530" xr:uid="{00000000-0005-0000-0000-00008E100000}"/>
    <cellStyle name="Normal 2 4 5 3 2 3 3 2" xfId="13959" xr:uid="{3CF45AAF-3E01-4E82-B3E8-FC9FA8BDDFDF}"/>
    <cellStyle name="Normal 2 4 5 3 2 3 4" xfId="9741" xr:uid="{2C4B51B7-FA0A-4760-B576-89D9135CF73E}"/>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2 2" xfId="16517" xr:uid="{419B14E9-C679-4D60-B77E-DBE801D40948}"/>
    <cellStyle name="Normal 2 4 5 3 2 4 2 3" xfId="12299" xr:uid="{B53AD418-CB4E-4E28-84D9-891A71B7D48E}"/>
    <cellStyle name="Normal 2 4 5 3 2 4 3" xfId="5943" xr:uid="{00000000-0005-0000-0000-000092100000}"/>
    <cellStyle name="Normal 2 4 5 3 2 4 3 2" xfId="14372" xr:uid="{02BDA93E-2D23-413A-AE96-E06648729046}"/>
    <cellStyle name="Normal 2 4 5 3 2 4 4" xfId="10154" xr:uid="{A1C49246-B0B1-4B0A-9731-1331045AC2F3}"/>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2 2" xfId="16930" xr:uid="{20CB7333-349B-47CC-BAF1-CA759FD09F60}"/>
    <cellStyle name="Normal 2 4 5 3 2 5 2 3" xfId="12712" xr:uid="{7681A24E-DA60-4070-8763-93CC73938CFF}"/>
    <cellStyle name="Normal 2 4 5 3 2 5 3" xfId="6356" xr:uid="{00000000-0005-0000-0000-000096100000}"/>
    <cellStyle name="Normal 2 4 5 3 2 5 3 2" xfId="14785" xr:uid="{6C6E6807-DC85-4D96-8CF6-56C17E895AD4}"/>
    <cellStyle name="Normal 2 4 5 3 2 5 4" xfId="10567" xr:uid="{37088DC1-9AAA-497F-9BC8-8C814522B743}"/>
    <cellStyle name="Normal 2 4 5 3 2 6" xfId="2484" xr:uid="{00000000-0005-0000-0000-000097100000}"/>
    <cellStyle name="Normal 2 4 5 3 2 6 2" xfId="6769" xr:uid="{00000000-0005-0000-0000-000098100000}"/>
    <cellStyle name="Normal 2 4 5 3 2 6 2 2" xfId="15198" xr:uid="{21096D67-ACDF-4EBC-8D68-7EA8C6D403CE}"/>
    <cellStyle name="Normal 2 4 5 3 2 6 3" xfId="10980" xr:uid="{42C4CF3B-550F-4B09-8BC4-2454F9B76672}"/>
    <cellStyle name="Normal 2 4 5 3 2 7" xfId="4703" xr:uid="{00000000-0005-0000-0000-000099100000}"/>
    <cellStyle name="Normal 2 4 5 3 2 7 2" xfId="13132" xr:uid="{1B133F35-2AC1-400E-8274-883309520BA8}"/>
    <cellStyle name="Normal 2 4 5 3 2 8" xfId="8914" xr:uid="{A92B7A97-AA5D-4C1D-AA79-E653CC06BDF0}"/>
    <cellStyle name="Normal 2 4 5 3 3" xfId="798" xr:uid="{00000000-0005-0000-0000-00009A100000}"/>
    <cellStyle name="Normal 2 4 5 3 3 2" xfId="3037" xr:uid="{00000000-0005-0000-0000-00009B100000}"/>
    <cellStyle name="Normal 2 4 5 3 3 2 2" xfId="7261" xr:uid="{00000000-0005-0000-0000-00009C100000}"/>
    <cellStyle name="Normal 2 4 5 3 3 2 2 2" xfId="15690" xr:uid="{B3799A4D-428E-4831-8870-07D66181854B}"/>
    <cellStyle name="Normal 2 4 5 3 3 2 3" xfId="11472" xr:uid="{AD69A962-7917-4BEF-B14F-B8359B524BA6}"/>
    <cellStyle name="Normal 2 4 5 3 3 3" xfId="5116" xr:uid="{00000000-0005-0000-0000-00009D100000}"/>
    <cellStyle name="Normal 2 4 5 3 3 3 2" xfId="13545" xr:uid="{54EF4579-C826-45E9-89F9-72D20E34696D}"/>
    <cellStyle name="Normal 2 4 5 3 3 4" xfId="9327" xr:uid="{58A98195-1A58-42C7-B4B5-B6333905599E}"/>
    <cellStyle name="Normal 2 4 5 3 4" xfId="1220" xr:uid="{00000000-0005-0000-0000-00009E100000}"/>
    <cellStyle name="Normal 2 4 5 3 4 2" xfId="3450" xr:uid="{00000000-0005-0000-0000-00009F100000}"/>
    <cellStyle name="Normal 2 4 5 3 4 2 2" xfId="7674" xr:uid="{00000000-0005-0000-0000-0000A0100000}"/>
    <cellStyle name="Normal 2 4 5 3 4 2 2 2" xfId="16103" xr:uid="{347D2E54-681A-41C0-A884-FD92BC0D89E7}"/>
    <cellStyle name="Normal 2 4 5 3 4 2 3" xfId="11885" xr:uid="{92947FBF-BABF-497F-B3B8-C8615F4150C9}"/>
    <cellStyle name="Normal 2 4 5 3 4 3" xfId="5529" xr:uid="{00000000-0005-0000-0000-0000A1100000}"/>
    <cellStyle name="Normal 2 4 5 3 4 3 2" xfId="13958" xr:uid="{F5FC4135-BFE6-4EB0-B0CC-5B852AD8367C}"/>
    <cellStyle name="Normal 2 4 5 3 4 4" xfId="9740" xr:uid="{AF3F3A7A-3FD7-44B1-8046-1F2AB0B5CAAF}"/>
    <cellStyle name="Normal 2 4 5 3 5" xfId="1633" xr:uid="{00000000-0005-0000-0000-0000A2100000}"/>
    <cellStyle name="Normal 2 4 5 3 5 2" xfId="3863" xr:uid="{00000000-0005-0000-0000-0000A3100000}"/>
    <cellStyle name="Normal 2 4 5 3 5 2 2" xfId="8087" xr:uid="{00000000-0005-0000-0000-0000A4100000}"/>
    <cellStyle name="Normal 2 4 5 3 5 2 2 2" xfId="16516" xr:uid="{F1D7B2BB-455B-4639-81A9-9CFEF247CAAD}"/>
    <cellStyle name="Normal 2 4 5 3 5 2 3" xfId="12298" xr:uid="{4F059EEC-9FB3-47F1-80FB-43719E513115}"/>
    <cellStyle name="Normal 2 4 5 3 5 3" xfId="5942" xr:uid="{00000000-0005-0000-0000-0000A5100000}"/>
    <cellStyle name="Normal 2 4 5 3 5 3 2" xfId="14371" xr:uid="{39ED77A5-21DC-4DE8-A8E5-2E80142BF3AE}"/>
    <cellStyle name="Normal 2 4 5 3 5 4" xfId="10153" xr:uid="{80EA4CA3-9EC1-498A-83B4-372D0476FCFF}"/>
    <cellStyle name="Normal 2 4 5 3 6" xfId="2047" xr:uid="{00000000-0005-0000-0000-0000A6100000}"/>
    <cellStyle name="Normal 2 4 5 3 6 2" xfId="4276" xr:uid="{00000000-0005-0000-0000-0000A7100000}"/>
    <cellStyle name="Normal 2 4 5 3 6 2 2" xfId="8500" xr:uid="{00000000-0005-0000-0000-0000A8100000}"/>
    <cellStyle name="Normal 2 4 5 3 6 2 2 2" xfId="16929" xr:uid="{E362557B-0EA5-4C0C-B460-F18C32DCBF67}"/>
    <cellStyle name="Normal 2 4 5 3 6 2 3" xfId="12711" xr:uid="{48F032BF-A436-446D-98EF-5DCC80252F6D}"/>
    <cellStyle name="Normal 2 4 5 3 6 3" xfId="6355" xr:uid="{00000000-0005-0000-0000-0000A9100000}"/>
    <cellStyle name="Normal 2 4 5 3 6 3 2" xfId="14784" xr:uid="{1495504F-37A0-41E8-A4A4-C92DC7274C53}"/>
    <cellStyle name="Normal 2 4 5 3 6 4" xfId="10566" xr:uid="{5828203F-F1B5-4A0A-B952-C3E206F9F35B}"/>
    <cellStyle name="Normal 2 4 5 3 7" xfId="2483" xr:uid="{00000000-0005-0000-0000-0000AA100000}"/>
    <cellStyle name="Normal 2 4 5 3 7 2" xfId="6768" xr:uid="{00000000-0005-0000-0000-0000AB100000}"/>
    <cellStyle name="Normal 2 4 5 3 7 2 2" xfId="15197" xr:uid="{437F2758-2EDD-4FE8-8EFC-CE283AA25F1B}"/>
    <cellStyle name="Normal 2 4 5 3 7 3" xfId="10979" xr:uid="{B90130D0-467A-4BE9-A2EF-A727599B18B6}"/>
    <cellStyle name="Normal 2 4 5 3 8" xfId="4702" xr:uid="{00000000-0005-0000-0000-0000AC100000}"/>
    <cellStyle name="Normal 2 4 5 3 8 2" xfId="13131" xr:uid="{1633A6B5-E7F4-4366-99D7-A633315EFA3D}"/>
    <cellStyle name="Normal 2 4 5 3 9" xfId="8913" xr:uid="{7F0642DC-F09C-4D64-AD09-148FCD63799C}"/>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2 2" xfId="15692" xr:uid="{085815A8-3675-4190-AD1C-592C2B54F3A3}"/>
    <cellStyle name="Normal 2 4 5 4 2 2 3" xfId="11474" xr:uid="{80E45596-7A78-43F7-AAA8-CDA470A5A102}"/>
    <cellStyle name="Normal 2 4 5 4 2 3" xfId="5118" xr:uid="{00000000-0005-0000-0000-0000B1100000}"/>
    <cellStyle name="Normal 2 4 5 4 2 3 2" xfId="13547" xr:uid="{063A8928-8980-4EDE-9F39-66EC8948302E}"/>
    <cellStyle name="Normal 2 4 5 4 2 4" xfId="9329" xr:uid="{2E1F6D22-947D-441A-AE0D-A6ED894AE0E9}"/>
    <cellStyle name="Normal 2 4 5 4 3" xfId="1222" xr:uid="{00000000-0005-0000-0000-0000B2100000}"/>
    <cellStyle name="Normal 2 4 5 4 3 2" xfId="3452" xr:uid="{00000000-0005-0000-0000-0000B3100000}"/>
    <cellStyle name="Normal 2 4 5 4 3 2 2" xfId="7676" xr:uid="{00000000-0005-0000-0000-0000B4100000}"/>
    <cellStyle name="Normal 2 4 5 4 3 2 2 2" xfId="16105" xr:uid="{13BDACD0-09FA-45C6-B7B4-B4834E812B03}"/>
    <cellStyle name="Normal 2 4 5 4 3 2 3" xfId="11887" xr:uid="{B70C59CE-AB1E-404C-9818-8EC7C0F6DCF6}"/>
    <cellStyle name="Normal 2 4 5 4 3 3" xfId="5531" xr:uid="{00000000-0005-0000-0000-0000B5100000}"/>
    <cellStyle name="Normal 2 4 5 4 3 3 2" xfId="13960" xr:uid="{B1259753-269C-46F1-9AAD-6E717234A01A}"/>
    <cellStyle name="Normal 2 4 5 4 3 4" xfId="9742" xr:uid="{F193CE45-DC0F-4BFA-9AC2-568EDE9054FD}"/>
    <cellStyle name="Normal 2 4 5 4 4" xfId="1635" xr:uid="{00000000-0005-0000-0000-0000B6100000}"/>
    <cellStyle name="Normal 2 4 5 4 4 2" xfId="3865" xr:uid="{00000000-0005-0000-0000-0000B7100000}"/>
    <cellStyle name="Normal 2 4 5 4 4 2 2" xfId="8089" xr:uid="{00000000-0005-0000-0000-0000B8100000}"/>
    <cellStyle name="Normal 2 4 5 4 4 2 2 2" xfId="16518" xr:uid="{B9DF1C53-2774-416C-BA31-B69E18DFF799}"/>
    <cellStyle name="Normal 2 4 5 4 4 2 3" xfId="12300" xr:uid="{D61312A1-1D7E-4317-8E31-4258EFE6596C}"/>
    <cellStyle name="Normal 2 4 5 4 4 3" xfId="5944" xr:uid="{00000000-0005-0000-0000-0000B9100000}"/>
    <cellStyle name="Normal 2 4 5 4 4 3 2" xfId="14373" xr:uid="{F8CB2687-61BE-496C-BF21-ADF85EEDEC97}"/>
    <cellStyle name="Normal 2 4 5 4 4 4" xfId="10155" xr:uid="{9BFB84C3-B52E-44E0-9BB7-140953D18142}"/>
    <cellStyle name="Normal 2 4 5 4 5" xfId="2049" xr:uid="{00000000-0005-0000-0000-0000BA100000}"/>
    <cellStyle name="Normal 2 4 5 4 5 2" xfId="4278" xr:uid="{00000000-0005-0000-0000-0000BB100000}"/>
    <cellStyle name="Normal 2 4 5 4 5 2 2" xfId="8502" xr:uid="{00000000-0005-0000-0000-0000BC100000}"/>
    <cellStyle name="Normal 2 4 5 4 5 2 2 2" xfId="16931" xr:uid="{0AA32E75-E082-4AD7-8546-669DC06B6141}"/>
    <cellStyle name="Normal 2 4 5 4 5 2 3" xfId="12713" xr:uid="{2C1CB354-E82A-4448-9BB0-0888091EBF12}"/>
    <cellStyle name="Normal 2 4 5 4 5 3" xfId="6357" xr:uid="{00000000-0005-0000-0000-0000BD100000}"/>
    <cellStyle name="Normal 2 4 5 4 5 3 2" xfId="14786" xr:uid="{1036DD80-693F-4A2A-9E0B-EBD84DBBE57A}"/>
    <cellStyle name="Normal 2 4 5 4 5 4" xfId="10568" xr:uid="{BC3C2679-6EFB-4384-B7E7-C6FB8ED60B1F}"/>
    <cellStyle name="Normal 2 4 5 4 6" xfId="2485" xr:uid="{00000000-0005-0000-0000-0000BE100000}"/>
    <cellStyle name="Normal 2 4 5 4 6 2" xfId="6770" xr:uid="{00000000-0005-0000-0000-0000BF100000}"/>
    <cellStyle name="Normal 2 4 5 4 6 2 2" xfId="15199" xr:uid="{FB257F8C-D5BC-40AD-A06D-AE73148C0551}"/>
    <cellStyle name="Normal 2 4 5 4 6 3" xfId="10981" xr:uid="{8AC345EB-1B56-450B-A2FE-53DAF87C48D2}"/>
    <cellStyle name="Normal 2 4 5 4 7" xfId="4704" xr:uid="{00000000-0005-0000-0000-0000C0100000}"/>
    <cellStyle name="Normal 2 4 5 4 7 2" xfId="13133" xr:uid="{DE1384A5-FE7C-49B4-ABF5-A1480FD6C542}"/>
    <cellStyle name="Normal 2 4 5 4 8" xfId="8915" xr:uid="{1DCD7412-39D9-4767-9E64-05C331FF5800}"/>
    <cellStyle name="Normal 2 4 5 5" xfId="793" xr:uid="{00000000-0005-0000-0000-0000C1100000}"/>
    <cellStyle name="Normal 2 4 5 5 2" xfId="3032" xr:uid="{00000000-0005-0000-0000-0000C2100000}"/>
    <cellStyle name="Normal 2 4 5 5 2 2" xfId="7256" xr:uid="{00000000-0005-0000-0000-0000C3100000}"/>
    <cellStyle name="Normal 2 4 5 5 2 2 2" xfId="15685" xr:uid="{36BB20EF-E11B-4F46-AFCF-52C0FAB516FE}"/>
    <cellStyle name="Normal 2 4 5 5 2 3" xfId="11467" xr:uid="{6A60077B-DDF8-4D68-8A98-87D6165A86CB}"/>
    <cellStyle name="Normal 2 4 5 5 3" xfId="5111" xr:uid="{00000000-0005-0000-0000-0000C4100000}"/>
    <cellStyle name="Normal 2 4 5 5 3 2" xfId="13540" xr:uid="{9FB98D6E-1A6E-4542-85BE-737B313B7A91}"/>
    <cellStyle name="Normal 2 4 5 5 4" xfId="9322" xr:uid="{8757F2C1-FE84-4192-9FCE-244844C789D3}"/>
    <cellStyle name="Normal 2 4 5 6" xfId="1215" xr:uid="{00000000-0005-0000-0000-0000C5100000}"/>
    <cellStyle name="Normal 2 4 5 6 2" xfId="3445" xr:uid="{00000000-0005-0000-0000-0000C6100000}"/>
    <cellStyle name="Normal 2 4 5 6 2 2" xfId="7669" xr:uid="{00000000-0005-0000-0000-0000C7100000}"/>
    <cellStyle name="Normal 2 4 5 6 2 2 2" xfId="16098" xr:uid="{50C8B97F-83BC-49A8-8D20-D1347CCAF3CF}"/>
    <cellStyle name="Normal 2 4 5 6 2 3" xfId="11880" xr:uid="{606D8C59-5D46-4362-ACEF-320D88ED35E5}"/>
    <cellStyle name="Normal 2 4 5 6 3" xfId="5524" xr:uid="{00000000-0005-0000-0000-0000C8100000}"/>
    <cellStyle name="Normal 2 4 5 6 3 2" xfId="13953" xr:uid="{2DB2C623-C2B0-410C-864C-4B1044F5FD2D}"/>
    <cellStyle name="Normal 2 4 5 6 4" xfId="9735" xr:uid="{E07CE52B-2578-4C4C-8341-6347988F0941}"/>
    <cellStyle name="Normal 2 4 5 7" xfId="1628" xr:uid="{00000000-0005-0000-0000-0000C9100000}"/>
    <cellStyle name="Normal 2 4 5 7 2" xfId="3858" xr:uid="{00000000-0005-0000-0000-0000CA100000}"/>
    <cellStyle name="Normal 2 4 5 7 2 2" xfId="8082" xr:uid="{00000000-0005-0000-0000-0000CB100000}"/>
    <cellStyle name="Normal 2 4 5 7 2 2 2" xfId="16511" xr:uid="{CF8CFBDC-1D0E-4A52-89AD-723D568C32AE}"/>
    <cellStyle name="Normal 2 4 5 7 2 3" xfId="12293" xr:uid="{D15BDE42-0041-4A59-8EEF-0A751E966B76}"/>
    <cellStyle name="Normal 2 4 5 7 3" xfId="5937" xr:uid="{00000000-0005-0000-0000-0000CC100000}"/>
    <cellStyle name="Normal 2 4 5 7 3 2" xfId="14366" xr:uid="{DCB1C30C-51C3-426A-B8B1-4D27E927C82E}"/>
    <cellStyle name="Normal 2 4 5 7 4" xfId="10148" xr:uid="{E9199287-3F76-4C4B-8A61-E991A5499222}"/>
    <cellStyle name="Normal 2 4 5 8" xfId="2042" xr:uid="{00000000-0005-0000-0000-0000CD100000}"/>
    <cellStyle name="Normal 2 4 5 8 2" xfId="4271" xr:uid="{00000000-0005-0000-0000-0000CE100000}"/>
    <cellStyle name="Normal 2 4 5 8 2 2" xfId="8495" xr:uid="{00000000-0005-0000-0000-0000CF100000}"/>
    <cellStyle name="Normal 2 4 5 8 2 2 2" xfId="16924" xr:uid="{F479034D-7B58-4678-8D4A-93EE459F7CBF}"/>
    <cellStyle name="Normal 2 4 5 8 2 3" xfId="12706" xr:uid="{77CDE3F7-ECAD-4CD9-A873-3199F132D331}"/>
    <cellStyle name="Normal 2 4 5 8 3" xfId="6350" xr:uid="{00000000-0005-0000-0000-0000D0100000}"/>
    <cellStyle name="Normal 2 4 5 8 3 2" xfId="14779" xr:uid="{24D73967-D737-4AB0-AE20-42FFF2FA890A}"/>
    <cellStyle name="Normal 2 4 5 8 4" xfId="10561" xr:uid="{5E4B1C2A-EFF9-45DB-8C3F-B9961A06F8A8}"/>
    <cellStyle name="Normal 2 4 5 9" xfId="2478" xr:uid="{00000000-0005-0000-0000-0000D1100000}"/>
    <cellStyle name="Normal 2 4 5 9 2" xfId="6763" xr:uid="{00000000-0005-0000-0000-0000D2100000}"/>
    <cellStyle name="Normal 2 4 5 9 2 2" xfId="15192" xr:uid="{2CF587C2-66BE-4073-8813-ACD0D37E3FE8}"/>
    <cellStyle name="Normal 2 4 5 9 3" xfId="10974" xr:uid="{26CE3DFC-41AE-4E0F-8E73-98B9D6D164C7}"/>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2 2" xfId="15694" xr:uid="{13B63485-FA14-484A-B3DF-21C7E14925AE}"/>
    <cellStyle name="Normal 2 4 7 2 2 2 3" xfId="11476" xr:uid="{178F0D2B-D73A-43FA-8AAD-57E91569669A}"/>
    <cellStyle name="Normal 2 4 7 2 2 3" xfId="5120" xr:uid="{00000000-0005-0000-0000-0000D9100000}"/>
    <cellStyle name="Normal 2 4 7 2 2 3 2" xfId="13549" xr:uid="{C4416CCD-E3E1-4CA2-A014-69D1F30375A0}"/>
    <cellStyle name="Normal 2 4 7 2 2 4" xfId="9331" xr:uid="{F62F02F3-BBEF-4F05-9474-E2706B2708FC}"/>
    <cellStyle name="Normal 2 4 7 2 3" xfId="1224" xr:uid="{00000000-0005-0000-0000-0000DA100000}"/>
    <cellStyle name="Normal 2 4 7 2 3 2" xfId="3454" xr:uid="{00000000-0005-0000-0000-0000DB100000}"/>
    <cellStyle name="Normal 2 4 7 2 3 2 2" xfId="7678" xr:uid="{00000000-0005-0000-0000-0000DC100000}"/>
    <cellStyle name="Normal 2 4 7 2 3 2 2 2" xfId="16107" xr:uid="{EBDCD62D-5FC2-4A6C-BF41-7F936A5222A0}"/>
    <cellStyle name="Normal 2 4 7 2 3 2 3" xfId="11889" xr:uid="{D44C14D3-6DB1-4CC0-8394-4188AC8FF862}"/>
    <cellStyle name="Normal 2 4 7 2 3 3" xfId="5533" xr:uid="{00000000-0005-0000-0000-0000DD100000}"/>
    <cellStyle name="Normal 2 4 7 2 3 3 2" xfId="13962" xr:uid="{61C22E52-D1E2-4DB7-99CA-F2D75F6B9E5B}"/>
    <cellStyle name="Normal 2 4 7 2 3 4" xfId="9744" xr:uid="{230FB567-84C9-4E4E-AF66-9774574099B8}"/>
    <cellStyle name="Normal 2 4 7 2 4" xfId="1637" xr:uid="{00000000-0005-0000-0000-0000DE100000}"/>
    <cellStyle name="Normal 2 4 7 2 4 2" xfId="3867" xr:uid="{00000000-0005-0000-0000-0000DF100000}"/>
    <cellStyle name="Normal 2 4 7 2 4 2 2" xfId="8091" xr:uid="{00000000-0005-0000-0000-0000E0100000}"/>
    <cellStyle name="Normal 2 4 7 2 4 2 2 2" xfId="16520" xr:uid="{4DB25A11-C838-4C91-8EB3-D721E3BB75D4}"/>
    <cellStyle name="Normal 2 4 7 2 4 2 3" xfId="12302" xr:uid="{9D1590FE-1A80-4992-A1FF-E44E9CCE456D}"/>
    <cellStyle name="Normal 2 4 7 2 4 3" xfId="5946" xr:uid="{00000000-0005-0000-0000-0000E1100000}"/>
    <cellStyle name="Normal 2 4 7 2 4 3 2" xfId="14375" xr:uid="{CAD77785-6ACB-4885-A8D6-563D2311C836}"/>
    <cellStyle name="Normal 2 4 7 2 4 4" xfId="10157" xr:uid="{A4F53A4A-3526-4E78-A6DF-D7160C9DFEB5}"/>
    <cellStyle name="Normal 2 4 7 2 5" xfId="2051" xr:uid="{00000000-0005-0000-0000-0000E2100000}"/>
    <cellStyle name="Normal 2 4 7 2 5 2" xfId="4280" xr:uid="{00000000-0005-0000-0000-0000E3100000}"/>
    <cellStyle name="Normal 2 4 7 2 5 2 2" xfId="8504" xr:uid="{00000000-0005-0000-0000-0000E4100000}"/>
    <cellStyle name="Normal 2 4 7 2 5 2 2 2" xfId="16933" xr:uid="{1EE8795F-DA20-4B8E-8006-CD6B3F7D6C3B}"/>
    <cellStyle name="Normal 2 4 7 2 5 2 3" xfId="12715" xr:uid="{097554D7-3907-4057-B725-562EFA8ADD18}"/>
    <cellStyle name="Normal 2 4 7 2 5 3" xfId="6359" xr:uid="{00000000-0005-0000-0000-0000E5100000}"/>
    <cellStyle name="Normal 2 4 7 2 5 3 2" xfId="14788" xr:uid="{F63E67E1-E56B-4501-8C2F-09E488F9286C}"/>
    <cellStyle name="Normal 2 4 7 2 5 4" xfId="10570" xr:uid="{D4826117-1CED-4B7C-BCD6-CCD2D7BE1FB0}"/>
    <cellStyle name="Normal 2 4 7 2 6" xfId="2487" xr:uid="{00000000-0005-0000-0000-0000E6100000}"/>
    <cellStyle name="Normal 2 4 7 2 6 2" xfId="6772" xr:uid="{00000000-0005-0000-0000-0000E7100000}"/>
    <cellStyle name="Normal 2 4 7 2 6 2 2" xfId="15201" xr:uid="{F67307A0-C0FB-4975-A777-5C9205655D89}"/>
    <cellStyle name="Normal 2 4 7 2 6 3" xfId="10983" xr:uid="{EF3294BF-7D51-42BF-ABC9-94489046C030}"/>
    <cellStyle name="Normal 2 4 7 2 7" xfId="4706" xr:uid="{00000000-0005-0000-0000-0000E8100000}"/>
    <cellStyle name="Normal 2 4 7 2 7 2" xfId="13135" xr:uid="{96E20401-2F97-4A1D-8BD1-B6035FE85A84}"/>
    <cellStyle name="Normal 2 4 7 2 8" xfId="8917" xr:uid="{084854FF-1ACA-4BF1-99D6-FFE9332B9401}"/>
    <cellStyle name="Normal 2 4 7 3" xfId="801" xr:uid="{00000000-0005-0000-0000-0000E9100000}"/>
    <cellStyle name="Normal 2 4 7 3 2" xfId="3040" xr:uid="{00000000-0005-0000-0000-0000EA100000}"/>
    <cellStyle name="Normal 2 4 7 3 2 2" xfId="7264" xr:uid="{00000000-0005-0000-0000-0000EB100000}"/>
    <cellStyle name="Normal 2 4 7 3 2 2 2" xfId="15693" xr:uid="{734DF1D6-A3B2-426D-A822-1525D5641500}"/>
    <cellStyle name="Normal 2 4 7 3 2 3" xfId="11475" xr:uid="{5B869877-12EB-4924-B939-1F94E837933E}"/>
    <cellStyle name="Normal 2 4 7 3 3" xfId="5119" xr:uid="{00000000-0005-0000-0000-0000EC100000}"/>
    <cellStyle name="Normal 2 4 7 3 3 2" xfId="13548" xr:uid="{85FE2405-C0ED-44DC-B31B-0C22D035AA84}"/>
    <cellStyle name="Normal 2 4 7 3 4" xfId="9330" xr:uid="{FE70B6D0-8731-4704-AFCC-9E979359315D}"/>
    <cellStyle name="Normal 2 4 7 4" xfId="1223" xr:uid="{00000000-0005-0000-0000-0000ED100000}"/>
    <cellStyle name="Normal 2 4 7 4 2" xfId="3453" xr:uid="{00000000-0005-0000-0000-0000EE100000}"/>
    <cellStyle name="Normal 2 4 7 4 2 2" xfId="7677" xr:uid="{00000000-0005-0000-0000-0000EF100000}"/>
    <cellStyle name="Normal 2 4 7 4 2 2 2" xfId="16106" xr:uid="{A5D5E0CE-813A-41E8-87FB-BF4CDCA3CE2D}"/>
    <cellStyle name="Normal 2 4 7 4 2 3" xfId="11888" xr:uid="{10B5000E-308D-42C6-9E6F-5C0428D078DB}"/>
    <cellStyle name="Normal 2 4 7 4 3" xfId="5532" xr:uid="{00000000-0005-0000-0000-0000F0100000}"/>
    <cellStyle name="Normal 2 4 7 4 3 2" xfId="13961" xr:uid="{5EA1249E-2D96-40B2-8F17-7738B88DDE39}"/>
    <cellStyle name="Normal 2 4 7 4 4" xfId="9743" xr:uid="{DE49B5AE-EDC2-4B95-9122-115E4126B283}"/>
    <cellStyle name="Normal 2 4 7 5" xfId="1636" xr:uid="{00000000-0005-0000-0000-0000F1100000}"/>
    <cellStyle name="Normal 2 4 7 5 2" xfId="3866" xr:uid="{00000000-0005-0000-0000-0000F2100000}"/>
    <cellStyle name="Normal 2 4 7 5 2 2" xfId="8090" xr:uid="{00000000-0005-0000-0000-0000F3100000}"/>
    <cellStyle name="Normal 2 4 7 5 2 2 2" xfId="16519" xr:uid="{10991EEB-E306-49E7-A2B8-A74C1122BCCB}"/>
    <cellStyle name="Normal 2 4 7 5 2 3" xfId="12301" xr:uid="{85B66206-2E81-49C8-8F9B-6059189208C7}"/>
    <cellStyle name="Normal 2 4 7 5 3" xfId="5945" xr:uid="{00000000-0005-0000-0000-0000F4100000}"/>
    <cellStyle name="Normal 2 4 7 5 3 2" xfId="14374" xr:uid="{A9EC0324-69FE-419C-9EE0-9C8044E91C4E}"/>
    <cellStyle name="Normal 2 4 7 5 4" xfId="10156" xr:uid="{72362071-3808-4582-A8B5-B202A9668DC5}"/>
    <cellStyle name="Normal 2 4 7 6" xfId="2050" xr:uid="{00000000-0005-0000-0000-0000F5100000}"/>
    <cellStyle name="Normal 2 4 7 6 2" xfId="4279" xr:uid="{00000000-0005-0000-0000-0000F6100000}"/>
    <cellStyle name="Normal 2 4 7 6 2 2" xfId="8503" xr:uid="{00000000-0005-0000-0000-0000F7100000}"/>
    <cellStyle name="Normal 2 4 7 6 2 2 2" xfId="16932" xr:uid="{43F5C5FA-BDB4-42B2-A7C9-D78952B61B7A}"/>
    <cellStyle name="Normal 2 4 7 6 2 3" xfId="12714" xr:uid="{0E40D861-7D65-4EDA-A9AA-46DEE8AE1061}"/>
    <cellStyle name="Normal 2 4 7 6 3" xfId="6358" xr:uid="{00000000-0005-0000-0000-0000F8100000}"/>
    <cellStyle name="Normal 2 4 7 6 3 2" xfId="14787" xr:uid="{CD5F5C67-08F7-4680-9CA2-8ED478A0C311}"/>
    <cellStyle name="Normal 2 4 7 6 4" xfId="10569" xr:uid="{A380D838-1BB5-4834-89EE-CA148F639A8E}"/>
    <cellStyle name="Normal 2 4 7 7" xfId="2486" xr:uid="{00000000-0005-0000-0000-0000F9100000}"/>
    <cellStyle name="Normal 2 4 7 7 2" xfId="6771" xr:uid="{00000000-0005-0000-0000-0000FA100000}"/>
    <cellStyle name="Normal 2 4 7 7 2 2" xfId="15200" xr:uid="{67F107E3-A025-4F84-BA1A-A892F14A534F}"/>
    <cellStyle name="Normal 2 4 7 7 3" xfId="10982" xr:uid="{B752689F-2253-4801-9796-4E0847981F27}"/>
    <cellStyle name="Normal 2 4 7 8" xfId="4705" xr:uid="{00000000-0005-0000-0000-0000FB100000}"/>
    <cellStyle name="Normal 2 4 7 8 2" xfId="13134" xr:uid="{02986760-0E7C-4096-8FA6-8C11B7C7EB5E}"/>
    <cellStyle name="Normal 2 4 7 9" xfId="8916" xr:uid="{F2A1E05C-BE7B-4B28-BF53-56B982E3BE82}"/>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2 2" xfId="15695" xr:uid="{394C3145-467E-4F32-BFBF-1EE7C84F5D51}"/>
    <cellStyle name="Normal 2 4 8 2 2 3" xfId="11477" xr:uid="{EF62CCC0-DE33-4049-9B9C-2DF4F775F86B}"/>
    <cellStyle name="Normal 2 4 8 2 3" xfId="5121" xr:uid="{00000000-0005-0000-0000-000000110000}"/>
    <cellStyle name="Normal 2 4 8 2 3 2" xfId="13550" xr:uid="{AB9DE4B0-FACA-4C67-A3D3-A05E3DC3D190}"/>
    <cellStyle name="Normal 2 4 8 2 4" xfId="9332" xr:uid="{086AD187-E18D-493C-936E-EAE07F86A0BB}"/>
    <cellStyle name="Normal 2 4 8 3" xfId="1225" xr:uid="{00000000-0005-0000-0000-000001110000}"/>
    <cellStyle name="Normal 2 4 8 3 2" xfId="3455" xr:uid="{00000000-0005-0000-0000-000002110000}"/>
    <cellStyle name="Normal 2 4 8 3 2 2" xfId="7679" xr:uid="{00000000-0005-0000-0000-000003110000}"/>
    <cellStyle name="Normal 2 4 8 3 2 2 2" xfId="16108" xr:uid="{251C074C-6528-448C-A041-136438115567}"/>
    <cellStyle name="Normal 2 4 8 3 2 3" xfId="11890" xr:uid="{86123E6D-3146-4E0E-8E8C-769661445FC6}"/>
    <cellStyle name="Normal 2 4 8 3 3" xfId="5534" xr:uid="{00000000-0005-0000-0000-000004110000}"/>
    <cellStyle name="Normal 2 4 8 3 3 2" xfId="13963" xr:uid="{558F35BD-CA80-4018-8B11-AED8CCB5E71B}"/>
    <cellStyle name="Normal 2 4 8 3 4" xfId="9745" xr:uid="{2A0D146F-AD2D-4D66-A8BF-E0A31EBEACB8}"/>
    <cellStyle name="Normal 2 4 8 4" xfId="1638" xr:uid="{00000000-0005-0000-0000-000005110000}"/>
    <cellStyle name="Normal 2 4 8 4 2" xfId="3868" xr:uid="{00000000-0005-0000-0000-000006110000}"/>
    <cellStyle name="Normal 2 4 8 4 2 2" xfId="8092" xr:uid="{00000000-0005-0000-0000-000007110000}"/>
    <cellStyle name="Normal 2 4 8 4 2 2 2" xfId="16521" xr:uid="{2D5F7C0E-E591-4949-A64F-1E42CFA6B7DD}"/>
    <cellStyle name="Normal 2 4 8 4 2 3" xfId="12303" xr:uid="{A1442301-FD56-446B-925C-C21594ACAC08}"/>
    <cellStyle name="Normal 2 4 8 4 3" xfId="5947" xr:uid="{00000000-0005-0000-0000-000008110000}"/>
    <cellStyle name="Normal 2 4 8 4 3 2" xfId="14376" xr:uid="{FD3744E4-289D-4783-BCC0-2D6697D829A7}"/>
    <cellStyle name="Normal 2 4 8 4 4" xfId="10158" xr:uid="{B7459D47-8B06-42AD-9E05-D1A39A68213A}"/>
    <cellStyle name="Normal 2 4 8 5" xfId="2052" xr:uid="{00000000-0005-0000-0000-000009110000}"/>
    <cellStyle name="Normal 2 4 8 5 2" xfId="4281" xr:uid="{00000000-0005-0000-0000-00000A110000}"/>
    <cellStyle name="Normal 2 4 8 5 2 2" xfId="8505" xr:uid="{00000000-0005-0000-0000-00000B110000}"/>
    <cellStyle name="Normal 2 4 8 5 2 2 2" xfId="16934" xr:uid="{25C06416-48A9-4FEF-AF8E-9C7D70416C8B}"/>
    <cellStyle name="Normal 2 4 8 5 2 3" xfId="12716" xr:uid="{13CC783E-0FB3-45C0-B144-FBC063A011D8}"/>
    <cellStyle name="Normal 2 4 8 5 3" xfId="6360" xr:uid="{00000000-0005-0000-0000-00000C110000}"/>
    <cellStyle name="Normal 2 4 8 5 3 2" xfId="14789" xr:uid="{966838C3-64B7-405A-9358-F9371A6FA370}"/>
    <cellStyle name="Normal 2 4 8 5 4" xfId="10571" xr:uid="{928852C8-15C4-43B4-9244-4D19308A4601}"/>
    <cellStyle name="Normal 2 4 8 6" xfId="2488" xr:uid="{00000000-0005-0000-0000-00000D110000}"/>
    <cellStyle name="Normal 2 4 8 6 2" xfId="6773" xr:uid="{00000000-0005-0000-0000-00000E110000}"/>
    <cellStyle name="Normal 2 4 8 6 2 2" xfId="15202" xr:uid="{453433B3-741D-4FA0-8172-DC7B506D1B31}"/>
    <cellStyle name="Normal 2 4 8 6 3" xfId="10984" xr:uid="{0616CD59-6CA0-4E69-B69C-9BFC7438B8D1}"/>
    <cellStyle name="Normal 2 4 8 7" xfId="4707" xr:uid="{00000000-0005-0000-0000-00000F110000}"/>
    <cellStyle name="Normal 2 4 8 7 2" xfId="13136" xr:uid="{8D2669A5-9C93-4681-9A52-8501495A8A5D}"/>
    <cellStyle name="Normal 2 4 8 8" xfId="8918" xr:uid="{AC27411E-AAAA-479F-A600-2BC2F0216324}"/>
    <cellStyle name="Normal 2 5" xfId="315" xr:uid="{00000000-0005-0000-0000-000010110000}"/>
    <cellStyle name="Normal 2 5 10" xfId="4708" xr:uid="{00000000-0005-0000-0000-000011110000}"/>
    <cellStyle name="Normal 2 5 10 2" xfId="13137" xr:uid="{FDE7B536-F4B6-40D2-A55A-AFEB6FAF839A}"/>
    <cellStyle name="Normal 2 5 11" xfId="8919" xr:uid="{4F28D6B7-1AF0-4312-A42F-274428491BF4}"/>
    <cellStyle name="Normal 2 5 2" xfId="316" xr:uid="{00000000-0005-0000-0000-000012110000}"/>
    <cellStyle name="Normal 2 5 3" xfId="317" xr:uid="{00000000-0005-0000-0000-000013110000}"/>
    <cellStyle name="Normal 2 5 4" xfId="318" xr:uid="{00000000-0005-0000-0000-000014110000}"/>
    <cellStyle name="Normal 2 5 4 10" xfId="8920" xr:uid="{3C497E86-8471-4133-8FF7-0EED64AEDB23}"/>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2 2" xfId="15699" xr:uid="{61370149-90F8-436F-BB23-624883CCB909}"/>
    <cellStyle name="Normal 2 5 4 2 2 2 2 3" xfId="11481" xr:uid="{A59430E3-D548-4334-84FE-F7E9DAA6EF56}"/>
    <cellStyle name="Normal 2 5 4 2 2 2 3" xfId="5125" xr:uid="{00000000-0005-0000-0000-00001A110000}"/>
    <cellStyle name="Normal 2 5 4 2 2 2 3 2" xfId="13554" xr:uid="{5A5FA5D0-0E28-4E04-B4E5-931F42F58EEF}"/>
    <cellStyle name="Normal 2 5 4 2 2 2 4" xfId="9336" xr:uid="{BBF0E64F-257C-41B2-BAC2-69CF1D8374D5}"/>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2 2" xfId="16112" xr:uid="{A53738D7-00C7-43CF-AC27-801CF60AFE03}"/>
    <cellStyle name="Normal 2 5 4 2 2 3 2 3" xfId="11894" xr:uid="{34D6571B-B793-463C-B2FD-9AFED54FCCF1}"/>
    <cellStyle name="Normal 2 5 4 2 2 3 3" xfId="5538" xr:uid="{00000000-0005-0000-0000-00001E110000}"/>
    <cellStyle name="Normal 2 5 4 2 2 3 3 2" xfId="13967" xr:uid="{E97E73E4-45B3-4907-B75D-FC5FE8A7A468}"/>
    <cellStyle name="Normal 2 5 4 2 2 3 4" xfId="9749" xr:uid="{8E32C4D8-33D8-45C9-893E-3614CC59AAC8}"/>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2 2" xfId="16525" xr:uid="{CA5F0C9E-CFB3-4D41-9715-C44E336A552B}"/>
    <cellStyle name="Normal 2 5 4 2 2 4 2 3" xfId="12307" xr:uid="{5A17480C-A08D-42F6-990F-81F4EA339280}"/>
    <cellStyle name="Normal 2 5 4 2 2 4 3" xfId="5951" xr:uid="{00000000-0005-0000-0000-000022110000}"/>
    <cellStyle name="Normal 2 5 4 2 2 4 3 2" xfId="14380" xr:uid="{CF29BB21-8248-4A25-BE41-CE6F52B57344}"/>
    <cellStyle name="Normal 2 5 4 2 2 4 4" xfId="10162" xr:uid="{4928BF24-E70C-4263-B737-F3F908C64A8A}"/>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2 2" xfId="16938" xr:uid="{F161F415-2F2F-4367-B703-53ED3966F9B9}"/>
    <cellStyle name="Normal 2 5 4 2 2 5 2 3" xfId="12720" xr:uid="{A5331857-5BB6-4C72-8213-A07884C6231D}"/>
    <cellStyle name="Normal 2 5 4 2 2 5 3" xfId="6364" xr:uid="{00000000-0005-0000-0000-000026110000}"/>
    <cellStyle name="Normal 2 5 4 2 2 5 3 2" xfId="14793" xr:uid="{2D16FF29-612C-4819-BE96-C2F6C7085D75}"/>
    <cellStyle name="Normal 2 5 4 2 2 5 4" xfId="10575" xr:uid="{50F83D54-F0B8-4FA4-921C-0B6022E9E221}"/>
    <cellStyle name="Normal 2 5 4 2 2 6" xfId="2492" xr:uid="{00000000-0005-0000-0000-000027110000}"/>
    <cellStyle name="Normal 2 5 4 2 2 6 2" xfId="6777" xr:uid="{00000000-0005-0000-0000-000028110000}"/>
    <cellStyle name="Normal 2 5 4 2 2 6 2 2" xfId="15206" xr:uid="{84F0C9C4-5F36-44D1-A3AF-86CBE7E95DD0}"/>
    <cellStyle name="Normal 2 5 4 2 2 6 3" xfId="10988" xr:uid="{2811C63C-A4AC-4D52-8F3B-BE68D187C63B}"/>
    <cellStyle name="Normal 2 5 4 2 2 7" xfId="4711" xr:uid="{00000000-0005-0000-0000-000029110000}"/>
    <cellStyle name="Normal 2 5 4 2 2 7 2" xfId="13140" xr:uid="{7A22515A-951D-4037-BEE8-4E1EB7A80DA1}"/>
    <cellStyle name="Normal 2 5 4 2 2 8" xfId="8922" xr:uid="{FA7D230C-9D6C-4DC1-85FF-158B842E0184}"/>
    <cellStyle name="Normal 2 5 4 2 3" xfId="806" xr:uid="{00000000-0005-0000-0000-00002A110000}"/>
    <cellStyle name="Normal 2 5 4 2 3 2" xfId="3045" xr:uid="{00000000-0005-0000-0000-00002B110000}"/>
    <cellStyle name="Normal 2 5 4 2 3 2 2" xfId="7269" xr:uid="{00000000-0005-0000-0000-00002C110000}"/>
    <cellStyle name="Normal 2 5 4 2 3 2 2 2" xfId="15698" xr:uid="{A31E700C-CF13-4D3A-A599-E5B456794406}"/>
    <cellStyle name="Normal 2 5 4 2 3 2 3" xfId="11480" xr:uid="{D335C140-B1AB-4A86-8822-0C91FBAA5F9F}"/>
    <cellStyle name="Normal 2 5 4 2 3 3" xfId="5124" xr:uid="{00000000-0005-0000-0000-00002D110000}"/>
    <cellStyle name="Normal 2 5 4 2 3 3 2" xfId="13553" xr:uid="{A9F660E1-377A-4013-8D4E-B64445205DAA}"/>
    <cellStyle name="Normal 2 5 4 2 3 4" xfId="9335" xr:uid="{D3A113EE-55DA-492C-960C-EC77B340A52B}"/>
    <cellStyle name="Normal 2 5 4 2 4" xfId="1228" xr:uid="{00000000-0005-0000-0000-00002E110000}"/>
    <cellStyle name="Normal 2 5 4 2 4 2" xfId="3458" xr:uid="{00000000-0005-0000-0000-00002F110000}"/>
    <cellStyle name="Normal 2 5 4 2 4 2 2" xfId="7682" xr:uid="{00000000-0005-0000-0000-000030110000}"/>
    <cellStyle name="Normal 2 5 4 2 4 2 2 2" xfId="16111" xr:uid="{1FBD4B3D-6AFB-4271-9B3E-F1FCD714B603}"/>
    <cellStyle name="Normal 2 5 4 2 4 2 3" xfId="11893" xr:uid="{C067F1BF-7039-4F78-AD6B-33DF7DBC758B}"/>
    <cellStyle name="Normal 2 5 4 2 4 3" xfId="5537" xr:uid="{00000000-0005-0000-0000-000031110000}"/>
    <cellStyle name="Normal 2 5 4 2 4 3 2" xfId="13966" xr:uid="{A13B1A9E-A0C4-4404-A0DB-2129581CFDF9}"/>
    <cellStyle name="Normal 2 5 4 2 4 4" xfId="9748" xr:uid="{D63B5FBF-673E-46DD-AA39-B129F65112C9}"/>
    <cellStyle name="Normal 2 5 4 2 5" xfId="1641" xr:uid="{00000000-0005-0000-0000-000032110000}"/>
    <cellStyle name="Normal 2 5 4 2 5 2" xfId="3871" xr:uid="{00000000-0005-0000-0000-000033110000}"/>
    <cellStyle name="Normal 2 5 4 2 5 2 2" xfId="8095" xr:uid="{00000000-0005-0000-0000-000034110000}"/>
    <cellStyle name="Normal 2 5 4 2 5 2 2 2" xfId="16524" xr:uid="{65132960-4410-427B-8B28-1E3474175D9C}"/>
    <cellStyle name="Normal 2 5 4 2 5 2 3" xfId="12306" xr:uid="{8ADB8AD2-900A-488B-8EBE-CB0A42F407A0}"/>
    <cellStyle name="Normal 2 5 4 2 5 3" xfId="5950" xr:uid="{00000000-0005-0000-0000-000035110000}"/>
    <cellStyle name="Normal 2 5 4 2 5 3 2" xfId="14379" xr:uid="{15001CE1-C817-4F61-9B00-99F9D99634B4}"/>
    <cellStyle name="Normal 2 5 4 2 5 4" xfId="10161" xr:uid="{581F05E2-C2DA-4F11-9115-9762D3241B77}"/>
    <cellStyle name="Normal 2 5 4 2 6" xfId="2055" xr:uid="{00000000-0005-0000-0000-000036110000}"/>
    <cellStyle name="Normal 2 5 4 2 6 2" xfId="4284" xr:uid="{00000000-0005-0000-0000-000037110000}"/>
    <cellStyle name="Normal 2 5 4 2 6 2 2" xfId="8508" xr:uid="{00000000-0005-0000-0000-000038110000}"/>
    <cellStyle name="Normal 2 5 4 2 6 2 2 2" xfId="16937" xr:uid="{35406BAB-FC2E-4F57-B6F4-2E09C9E21729}"/>
    <cellStyle name="Normal 2 5 4 2 6 2 3" xfId="12719" xr:uid="{F7A807B1-7BDF-463F-A136-89ED5355D13A}"/>
    <cellStyle name="Normal 2 5 4 2 6 3" xfId="6363" xr:uid="{00000000-0005-0000-0000-000039110000}"/>
    <cellStyle name="Normal 2 5 4 2 6 3 2" xfId="14792" xr:uid="{AF4D1F01-3EDC-4720-8943-45A8079E60A4}"/>
    <cellStyle name="Normal 2 5 4 2 6 4" xfId="10574" xr:uid="{91B1C603-F79B-4737-8B4F-488763648DC2}"/>
    <cellStyle name="Normal 2 5 4 2 7" xfId="2491" xr:uid="{00000000-0005-0000-0000-00003A110000}"/>
    <cellStyle name="Normal 2 5 4 2 7 2" xfId="6776" xr:uid="{00000000-0005-0000-0000-00003B110000}"/>
    <cellStyle name="Normal 2 5 4 2 7 2 2" xfId="15205" xr:uid="{B7B1D1A0-0B09-40BC-B5C8-85A57E7C62EC}"/>
    <cellStyle name="Normal 2 5 4 2 7 3" xfId="10987" xr:uid="{2F5D7124-F56A-4417-90ED-88396C141BA5}"/>
    <cellStyle name="Normal 2 5 4 2 8" xfId="4710" xr:uid="{00000000-0005-0000-0000-00003C110000}"/>
    <cellStyle name="Normal 2 5 4 2 8 2" xfId="13139" xr:uid="{FF30B1EA-F565-4863-85AD-08CDF1F7CBED}"/>
    <cellStyle name="Normal 2 5 4 2 9" xfId="8921" xr:uid="{BC25BF94-E68C-46CA-B54C-0681ABDAA2E4}"/>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2 2" xfId="15700" xr:uid="{31C582F2-93AA-4C26-8F71-92DFB9599458}"/>
    <cellStyle name="Normal 2 5 4 3 2 2 3" xfId="11482" xr:uid="{1E64E293-B63C-4DFD-87DA-2FC5503AB993}"/>
    <cellStyle name="Normal 2 5 4 3 2 3" xfId="5126" xr:uid="{00000000-0005-0000-0000-000041110000}"/>
    <cellStyle name="Normal 2 5 4 3 2 3 2" xfId="13555" xr:uid="{2082E957-22F0-49D9-8576-8C3D0C66DF06}"/>
    <cellStyle name="Normal 2 5 4 3 2 4" xfId="9337" xr:uid="{5231B46C-7EDC-4506-8A2E-A7140B2BBA99}"/>
    <cellStyle name="Normal 2 5 4 3 3" xfId="1230" xr:uid="{00000000-0005-0000-0000-000042110000}"/>
    <cellStyle name="Normal 2 5 4 3 3 2" xfId="3460" xr:uid="{00000000-0005-0000-0000-000043110000}"/>
    <cellStyle name="Normal 2 5 4 3 3 2 2" xfId="7684" xr:uid="{00000000-0005-0000-0000-000044110000}"/>
    <cellStyle name="Normal 2 5 4 3 3 2 2 2" xfId="16113" xr:uid="{146661D7-D36F-4DB7-84A9-9E52AA77A0ED}"/>
    <cellStyle name="Normal 2 5 4 3 3 2 3" xfId="11895" xr:uid="{5BD16B91-DFCF-429C-9B23-26313976A24D}"/>
    <cellStyle name="Normal 2 5 4 3 3 3" xfId="5539" xr:uid="{00000000-0005-0000-0000-000045110000}"/>
    <cellStyle name="Normal 2 5 4 3 3 3 2" xfId="13968" xr:uid="{E8EF8B12-D8A2-4592-8F0B-843AAA36AE85}"/>
    <cellStyle name="Normal 2 5 4 3 3 4" xfId="9750" xr:uid="{D9C26A00-89F0-455F-B532-C62D1217F566}"/>
    <cellStyle name="Normal 2 5 4 3 4" xfId="1643" xr:uid="{00000000-0005-0000-0000-000046110000}"/>
    <cellStyle name="Normal 2 5 4 3 4 2" xfId="3873" xr:uid="{00000000-0005-0000-0000-000047110000}"/>
    <cellStyle name="Normal 2 5 4 3 4 2 2" xfId="8097" xr:uid="{00000000-0005-0000-0000-000048110000}"/>
    <cellStyle name="Normal 2 5 4 3 4 2 2 2" xfId="16526" xr:uid="{49FF9FE5-D29B-4D89-AC2A-BE4D52840C66}"/>
    <cellStyle name="Normal 2 5 4 3 4 2 3" xfId="12308" xr:uid="{44E69611-B36A-4ADE-9EC0-E4C4943EFA20}"/>
    <cellStyle name="Normal 2 5 4 3 4 3" xfId="5952" xr:uid="{00000000-0005-0000-0000-000049110000}"/>
    <cellStyle name="Normal 2 5 4 3 4 3 2" xfId="14381" xr:uid="{A3BF79FF-D316-4C9C-9B0B-A1C6A4A87D07}"/>
    <cellStyle name="Normal 2 5 4 3 4 4" xfId="10163" xr:uid="{FDB52DDB-A2A6-47BD-94FB-4ACD7B8470FC}"/>
    <cellStyle name="Normal 2 5 4 3 5" xfId="2057" xr:uid="{00000000-0005-0000-0000-00004A110000}"/>
    <cellStyle name="Normal 2 5 4 3 5 2" xfId="4286" xr:uid="{00000000-0005-0000-0000-00004B110000}"/>
    <cellStyle name="Normal 2 5 4 3 5 2 2" xfId="8510" xr:uid="{00000000-0005-0000-0000-00004C110000}"/>
    <cellStyle name="Normal 2 5 4 3 5 2 2 2" xfId="16939" xr:uid="{DDE88859-058D-444F-8B41-67795DEC600F}"/>
    <cellStyle name="Normal 2 5 4 3 5 2 3" xfId="12721" xr:uid="{586B00BE-98F1-4A49-AD21-7D65B75C2D9A}"/>
    <cellStyle name="Normal 2 5 4 3 5 3" xfId="6365" xr:uid="{00000000-0005-0000-0000-00004D110000}"/>
    <cellStyle name="Normal 2 5 4 3 5 3 2" xfId="14794" xr:uid="{4252010A-35D9-4ABC-BAD2-4DD8774A2C70}"/>
    <cellStyle name="Normal 2 5 4 3 5 4" xfId="10576" xr:uid="{487B2C5C-DB6B-491D-B390-77CC331C373D}"/>
    <cellStyle name="Normal 2 5 4 3 6" xfId="2493" xr:uid="{00000000-0005-0000-0000-00004E110000}"/>
    <cellStyle name="Normal 2 5 4 3 6 2" xfId="6778" xr:uid="{00000000-0005-0000-0000-00004F110000}"/>
    <cellStyle name="Normal 2 5 4 3 6 2 2" xfId="15207" xr:uid="{EDE93A3B-AEFA-4FB2-A3A6-25A4B2B7F4AE}"/>
    <cellStyle name="Normal 2 5 4 3 6 3" xfId="10989" xr:uid="{A9693AFA-5FDE-4D47-8550-F967ED009D56}"/>
    <cellStyle name="Normal 2 5 4 3 7" xfId="4712" xr:uid="{00000000-0005-0000-0000-000050110000}"/>
    <cellStyle name="Normal 2 5 4 3 7 2" xfId="13141" xr:uid="{653E3CB3-EB0B-40E8-9AD1-A8E144C4CA4D}"/>
    <cellStyle name="Normal 2 5 4 3 8" xfId="8923" xr:uid="{3103FAD7-A2B6-4176-8CF5-EA50FAE919F8}"/>
    <cellStyle name="Normal 2 5 4 4" xfId="805" xr:uid="{00000000-0005-0000-0000-000051110000}"/>
    <cellStyle name="Normal 2 5 4 4 2" xfId="3044" xr:uid="{00000000-0005-0000-0000-000052110000}"/>
    <cellStyle name="Normal 2 5 4 4 2 2" xfId="7268" xr:uid="{00000000-0005-0000-0000-000053110000}"/>
    <cellStyle name="Normal 2 5 4 4 2 2 2" xfId="15697" xr:uid="{971799B3-03BA-44D4-9609-4C82BE6A7013}"/>
    <cellStyle name="Normal 2 5 4 4 2 3" xfId="11479" xr:uid="{4A51066E-3428-41DA-9440-7E529DC9230D}"/>
    <cellStyle name="Normal 2 5 4 4 3" xfId="5123" xr:uid="{00000000-0005-0000-0000-000054110000}"/>
    <cellStyle name="Normal 2 5 4 4 3 2" xfId="13552" xr:uid="{5AFA900E-D5D5-4296-A172-6E1EA55A2B28}"/>
    <cellStyle name="Normal 2 5 4 4 4" xfId="9334" xr:uid="{CC2EDBF4-0D9D-4337-86A4-D90A27194555}"/>
    <cellStyle name="Normal 2 5 4 5" xfId="1227" xr:uid="{00000000-0005-0000-0000-000055110000}"/>
    <cellStyle name="Normal 2 5 4 5 2" xfId="3457" xr:uid="{00000000-0005-0000-0000-000056110000}"/>
    <cellStyle name="Normal 2 5 4 5 2 2" xfId="7681" xr:uid="{00000000-0005-0000-0000-000057110000}"/>
    <cellStyle name="Normal 2 5 4 5 2 2 2" xfId="16110" xr:uid="{1CD0BF87-5CEB-4345-837A-04FFC5BA4191}"/>
    <cellStyle name="Normal 2 5 4 5 2 3" xfId="11892" xr:uid="{0991BA99-A732-4E0E-B41F-B459823D5862}"/>
    <cellStyle name="Normal 2 5 4 5 3" xfId="5536" xr:uid="{00000000-0005-0000-0000-000058110000}"/>
    <cellStyle name="Normal 2 5 4 5 3 2" xfId="13965" xr:uid="{EBFB8714-9A1D-4F46-9EF3-5C2A5DEBEEAE}"/>
    <cellStyle name="Normal 2 5 4 5 4" xfId="9747" xr:uid="{65E1D828-4C31-4DFB-A240-8FEA04D76AB0}"/>
    <cellStyle name="Normal 2 5 4 6" xfId="1640" xr:uid="{00000000-0005-0000-0000-000059110000}"/>
    <cellStyle name="Normal 2 5 4 6 2" xfId="3870" xr:uid="{00000000-0005-0000-0000-00005A110000}"/>
    <cellStyle name="Normal 2 5 4 6 2 2" xfId="8094" xr:uid="{00000000-0005-0000-0000-00005B110000}"/>
    <cellStyle name="Normal 2 5 4 6 2 2 2" xfId="16523" xr:uid="{D003DE85-2314-4635-BEA5-DDED6B3F449B}"/>
    <cellStyle name="Normal 2 5 4 6 2 3" xfId="12305" xr:uid="{FEA49104-40B0-499D-B972-A3D4DF97581D}"/>
    <cellStyle name="Normal 2 5 4 6 3" xfId="5949" xr:uid="{00000000-0005-0000-0000-00005C110000}"/>
    <cellStyle name="Normal 2 5 4 6 3 2" xfId="14378" xr:uid="{BC7114FF-3F25-400A-8467-2560CC89F5CE}"/>
    <cellStyle name="Normal 2 5 4 6 4" xfId="10160" xr:uid="{90AC9E5A-1CC6-4D5B-B717-1912DCB08F05}"/>
    <cellStyle name="Normal 2 5 4 7" xfId="2054" xr:uid="{00000000-0005-0000-0000-00005D110000}"/>
    <cellStyle name="Normal 2 5 4 7 2" xfId="4283" xr:uid="{00000000-0005-0000-0000-00005E110000}"/>
    <cellStyle name="Normal 2 5 4 7 2 2" xfId="8507" xr:uid="{00000000-0005-0000-0000-00005F110000}"/>
    <cellStyle name="Normal 2 5 4 7 2 2 2" xfId="16936" xr:uid="{C88AE45A-0E83-4352-B54B-363362A0963B}"/>
    <cellStyle name="Normal 2 5 4 7 2 3" xfId="12718" xr:uid="{7F35CEB6-9E6E-463C-B00D-559B9A6CB76D}"/>
    <cellStyle name="Normal 2 5 4 7 3" xfId="6362" xr:uid="{00000000-0005-0000-0000-000060110000}"/>
    <cellStyle name="Normal 2 5 4 7 3 2" xfId="14791" xr:uid="{36A8678E-2568-4A33-9B5C-01B90D1E1802}"/>
    <cellStyle name="Normal 2 5 4 7 4" xfId="10573" xr:uid="{6F68DFFF-B13E-4381-A59A-DA92A3198669}"/>
    <cellStyle name="Normal 2 5 4 8" xfId="2490" xr:uid="{00000000-0005-0000-0000-000061110000}"/>
    <cellStyle name="Normal 2 5 4 8 2" xfId="6775" xr:uid="{00000000-0005-0000-0000-000062110000}"/>
    <cellStyle name="Normal 2 5 4 8 2 2" xfId="15204" xr:uid="{D884F45F-A081-436D-8126-C5DE4EFAF064}"/>
    <cellStyle name="Normal 2 5 4 8 3" xfId="10986" xr:uid="{530FCC65-3370-469B-BB2B-0B8391EE2EBF}"/>
    <cellStyle name="Normal 2 5 4 9" xfId="4709" xr:uid="{00000000-0005-0000-0000-000063110000}"/>
    <cellStyle name="Normal 2 5 4 9 2" xfId="13138" xr:uid="{18A9B1D4-CC09-4893-8E46-6A7A2E444D40}"/>
    <cellStyle name="Normal 2 5 5" xfId="804" xr:uid="{00000000-0005-0000-0000-000064110000}"/>
    <cellStyle name="Normal 2 5 5 2" xfId="3043" xr:uid="{00000000-0005-0000-0000-000065110000}"/>
    <cellStyle name="Normal 2 5 5 2 2" xfId="7267" xr:uid="{00000000-0005-0000-0000-000066110000}"/>
    <cellStyle name="Normal 2 5 5 2 2 2" xfId="15696" xr:uid="{EBDEBD15-50E5-4759-9592-989BA61E70A5}"/>
    <cellStyle name="Normal 2 5 5 2 3" xfId="11478" xr:uid="{837B652A-A115-4130-8033-93E3B676C6C3}"/>
    <cellStyle name="Normal 2 5 5 3" xfId="5122" xr:uid="{00000000-0005-0000-0000-000067110000}"/>
    <cellStyle name="Normal 2 5 5 3 2" xfId="13551" xr:uid="{4ECB61E7-DD0E-4351-9126-D38E6A031259}"/>
    <cellStyle name="Normal 2 5 5 4" xfId="9333" xr:uid="{0B5DB99B-9003-4CC4-8C3C-2A5D8D53B206}"/>
    <cellStyle name="Normal 2 5 6" xfId="1226" xr:uid="{00000000-0005-0000-0000-000068110000}"/>
    <cellStyle name="Normal 2 5 6 2" xfId="3456" xr:uid="{00000000-0005-0000-0000-000069110000}"/>
    <cellStyle name="Normal 2 5 6 2 2" xfId="7680" xr:uid="{00000000-0005-0000-0000-00006A110000}"/>
    <cellStyle name="Normal 2 5 6 2 2 2" xfId="16109" xr:uid="{774A57CD-95DD-4C56-B736-9941CD094CB4}"/>
    <cellStyle name="Normal 2 5 6 2 3" xfId="11891" xr:uid="{2BE5CE69-ED78-4BE5-A41E-2861B41E3A96}"/>
    <cellStyle name="Normal 2 5 6 3" xfId="5535" xr:uid="{00000000-0005-0000-0000-00006B110000}"/>
    <cellStyle name="Normal 2 5 6 3 2" xfId="13964" xr:uid="{8563F4C3-92DD-4800-8DDA-CEE0591CF740}"/>
    <cellStyle name="Normal 2 5 6 4" xfId="9746" xr:uid="{AF7D41E7-9121-40EB-ADA4-DAEACEB90FD7}"/>
    <cellStyle name="Normal 2 5 7" xfId="1639" xr:uid="{00000000-0005-0000-0000-00006C110000}"/>
    <cellStyle name="Normal 2 5 7 2" xfId="3869" xr:uid="{00000000-0005-0000-0000-00006D110000}"/>
    <cellStyle name="Normal 2 5 7 2 2" xfId="8093" xr:uid="{00000000-0005-0000-0000-00006E110000}"/>
    <cellStyle name="Normal 2 5 7 2 2 2" xfId="16522" xr:uid="{CBA4F4C5-6345-429A-8A10-576BB73516CD}"/>
    <cellStyle name="Normal 2 5 7 2 3" xfId="12304" xr:uid="{C6CBFD7E-6A70-41F8-AE61-A33500C55E11}"/>
    <cellStyle name="Normal 2 5 7 3" xfId="5948" xr:uid="{00000000-0005-0000-0000-00006F110000}"/>
    <cellStyle name="Normal 2 5 7 3 2" xfId="14377" xr:uid="{6C937668-B394-47D1-ACC5-15D44275EF92}"/>
    <cellStyle name="Normal 2 5 7 4" xfId="10159" xr:uid="{63DD9322-0B8D-4E9F-B017-B2CBE38894F3}"/>
    <cellStyle name="Normal 2 5 8" xfId="2053" xr:uid="{00000000-0005-0000-0000-000070110000}"/>
    <cellStyle name="Normal 2 5 8 2" xfId="4282" xr:uid="{00000000-0005-0000-0000-000071110000}"/>
    <cellStyle name="Normal 2 5 8 2 2" xfId="8506" xr:uid="{00000000-0005-0000-0000-000072110000}"/>
    <cellStyle name="Normal 2 5 8 2 2 2" xfId="16935" xr:uid="{F8A73952-A64E-4013-9039-4F87BDC9BFF9}"/>
    <cellStyle name="Normal 2 5 8 2 3" xfId="12717" xr:uid="{045C2465-6FE9-49B5-A7E6-4528EC8A8A28}"/>
    <cellStyle name="Normal 2 5 8 3" xfId="6361" xr:uid="{00000000-0005-0000-0000-000073110000}"/>
    <cellStyle name="Normal 2 5 8 3 2" xfId="14790" xr:uid="{481FF93F-632E-400E-90B4-5AB8E5E1241A}"/>
    <cellStyle name="Normal 2 5 8 4" xfId="10572" xr:uid="{72194CC9-256A-44FB-9B44-CF6D6658F97C}"/>
    <cellStyle name="Normal 2 5 9" xfId="2489" xr:uid="{00000000-0005-0000-0000-000074110000}"/>
    <cellStyle name="Normal 2 5 9 2" xfId="6774" xr:uid="{00000000-0005-0000-0000-000075110000}"/>
    <cellStyle name="Normal 2 5 9 2 2" xfId="15203" xr:uid="{CEEA04BF-26A6-40F4-B199-967ADDC2BED9}"/>
    <cellStyle name="Normal 2 5 9 3" xfId="10985" xr:uid="{73DFC448-5B1B-496F-A696-2753EE266A9A}"/>
    <cellStyle name="Normal 2 6" xfId="322" xr:uid="{00000000-0005-0000-0000-000076110000}"/>
    <cellStyle name="Normal 2 7" xfId="770" xr:uid="{00000000-0005-0000-0000-000077110000}"/>
    <cellStyle name="Normal 2 8" xfId="4496" xr:uid="{00000000-0005-0000-0000-000078110000}"/>
    <cellStyle name="Normal 2 8 2" xfId="12929" xr:uid="{6F98014E-1C86-4F5E-B9D5-2379188F8B21}"/>
    <cellStyle name="Normal 3" xfId="323" xr:uid="{00000000-0005-0000-0000-000079110000}"/>
    <cellStyle name="Normal 3 2" xfId="324" xr:uid="{00000000-0005-0000-0000-00007A110000}"/>
    <cellStyle name="Normal 3 2 10" xfId="8924" xr:uid="{D002B30B-37BD-455B-83A9-9EBA1ED1350D}"/>
    <cellStyle name="Normal 3 2 2" xfId="325" xr:uid="{00000000-0005-0000-0000-00007B110000}"/>
    <cellStyle name="Normal 3 2 2 2" xfId="811" xr:uid="{00000000-0005-0000-0000-00007C110000}"/>
    <cellStyle name="Normal 3 2 3" xfId="326" xr:uid="{00000000-0005-0000-0000-00007D110000}"/>
    <cellStyle name="Normal 3 2 3 10" xfId="8925" xr:uid="{8EE9022B-07F4-4CFE-98B3-73C016C61F58}"/>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2 2" xfId="15704" xr:uid="{9A710E5E-B9F0-45D6-9ED9-2BEB2FD8B2ED}"/>
    <cellStyle name="Normal 3 2 3 2 2 2 2 3" xfId="11486" xr:uid="{AC69D505-5B3A-4CFE-8AEB-4848DB5802E3}"/>
    <cellStyle name="Normal 3 2 3 2 2 2 3" xfId="5130" xr:uid="{00000000-0005-0000-0000-000083110000}"/>
    <cellStyle name="Normal 3 2 3 2 2 2 3 2" xfId="13559" xr:uid="{F46974B0-8FFD-4294-88F8-A2E16F6FC0F0}"/>
    <cellStyle name="Normal 3 2 3 2 2 2 4" xfId="9341" xr:uid="{D6CE798F-2C6E-49AF-B72A-4FDB8EB89344}"/>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2 2" xfId="16117" xr:uid="{C16F88B7-836E-4D65-838E-6D4DC9D150B0}"/>
    <cellStyle name="Normal 3 2 3 2 2 3 2 3" xfId="11899" xr:uid="{6C556EE1-A9DC-4476-BCC5-82B5DBB429D2}"/>
    <cellStyle name="Normal 3 2 3 2 2 3 3" xfId="5543" xr:uid="{00000000-0005-0000-0000-000087110000}"/>
    <cellStyle name="Normal 3 2 3 2 2 3 3 2" xfId="13972" xr:uid="{A23ADCCF-FF14-47CE-BDE6-0313EFEE394D}"/>
    <cellStyle name="Normal 3 2 3 2 2 3 4" xfId="9754" xr:uid="{E99DFB4F-EE3D-4F61-8B27-07E56860E8FA}"/>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2 2" xfId="16530" xr:uid="{E1010ED6-3A0F-456D-B2DC-0B2D290F7092}"/>
    <cellStyle name="Normal 3 2 3 2 2 4 2 3" xfId="12312" xr:uid="{0E502C13-8695-4E23-9B30-12B3E532838B}"/>
    <cellStyle name="Normal 3 2 3 2 2 4 3" xfId="5956" xr:uid="{00000000-0005-0000-0000-00008B110000}"/>
    <cellStyle name="Normal 3 2 3 2 2 4 3 2" xfId="14385" xr:uid="{529C331C-8B02-4E9D-ABFD-9AA443E3FCDD}"/>
    <cellStyle name="Normal 3 2 3 2 2 4 4" xfId="10167" xr:uid="{E414867D-2FF2-4D68-8065-5E4219F0D74C}"/>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2 2" xfId="16943" xr:uid="{BF2473AB-9918-447C-AEDF-4B747491B3C9}"/>
    <cellStyle name="Normal 3 2 3 2 2 5 2 3" xfId="12725" xr:uid="{66D3BAC4-AC8C-40D9-8EE5-1496073C16F5}"/>
    <cellStyle name="Normal 3 2 3 2 2 5 3" xfId="6369" xr:uid="{00000000-0005-0000-0000-00008F110000}"/>
    <cellStyle name="Normal 3 2 3 2 2 5 3 2" xfId="14798" xr:uid="{B0F79197-E15B-4AEC-9A3E-A312344188FF}"/>
    <cellStyle name="Normal 3 2 3 2 2 5 4" xfId="10580" xr:uid="{E0CFD151-0B4F-441A-81A1-F44B7F4E762D}"/>
    <cellStyle name="Normal 3 2 3 2 2 6" xfId="2497" xr:uid="{00000000-0005-0000-0000-000090110000}"/>
    <cellStyle name="Normal 3 2 3 2 2 6 2" xfId="6782" xr:uid="{00000000-0005-0000-0000-000091110000}"/>
    <cellStyle name="Normal 3 2 3 2 2 6 2 2" xfId="15211" xr:uid="{22FF6046-EFF4-4793-BFDC-7C265D17EB4E}"/>
    <cellStyle name="Normal 3 2 3 2 2 6 3" xfId="10993" xr:uid="{A4DDE1C8-7872-44C6-A63B-EADED6CB5B3C}"/>
    <cellStyle name="Normal 3 2 3 2 2 7" xfId="4716" xr:uid="{00000000-0005-0000-0000-000092110000}"/>
    <cellStyle name="Normal 3 2 3 2 2 7 2" xfId="13145" xr:uid="{6457DAB5-7CDB-4FE3-B907-346DDA399884}"/>
    <cellStyle name="Normal 3 2 3 2 2 8" xfId="8927" xr:uid="{8556C124-7C3A-41EF-8BC7-3CDC221DE30A}"/>
    <cellStyle name="Normal 3 2 3 2 3" xfId="813" xr:uid="{00000000-0005-0000-0000-000093110000}"/>
    <cellStyle name="Normal 3 2 3 2 3 2" xfId="3050" xr:uid="{00000000-0005-0000-0000-000094110000}"/>
    <cellStyle name="Normal 3 2 3 2 3 2 2" xfId="7274" xr:uid="{00000000-0005-0000-0000-000095110000}"/>
    <cellStyle name="Normal 3 2 3 2 3 2 2 2" xfId="15703" xr:uid="{7819AED6-ECC5-4CED-94EE-76AF7B740368}"/>
    <cellStyle name="Normal 3 2 3 2 3 2 3" xfId="11485" xr:uid="{7435E408-C9ED-4C44-B037-E2951CF3D0B4}"/>
    <cellStyle name="Normal 3 2 3 2 3 3" xfId="5129" xr:uid="{00000000-0005-0000-0000-000096110000}"/>
    <cellStyle name="Normal 3 2 3 2 3 3 2" xfId="13558" xr:uid="{228EB2B6-9D78-4328-9737-41A2A0B194BF}"/>
    <cellStyle name="Normal 3 2 3 2 3 4" xfId="9340" xr:uid="{C3D772DA-F70D-46C8-AF77-07519255BECD}"/>
    <cellStyle name="Normal 3 2 3 2 4" xfId="1233" xr:uid="{00000000-0005-0000-0000-000097110000}"/>
    <cellStyle name="Normal 3 2 3 2 4 2" xfId="3463" xr:uid="{00000000-0005-0000-0000-000098110000}"/>
    <cellStyle name="Normal 3 2 3 2 4 2 2" xfId="7687" xr:uid="{00000000-0005-0000-0000-000099110000}"/>
    <cellStyle name="Normal 3 2 3 2 4 2 2 2" xfId="16116" xr:uid="{99E31E7F-15E7-4753-BBE5-F513526D863A}"/>
    <cellStyle name="Normal 3 2 3 2 4 2 3" xfId="11898" xr:uid="{8B57B456-6FE6-457A-B8F6-07EA13C5F17B}"/>
    <cellStyle name="Normal 3 2 3 2 4 3" xfId="5542" xr:uid="{00000000-0005-0000-0000-00009A110000}"/>
    <cellStyle name="Normal 3 2 3 2 4 3 2" xfId="13971" xr:uid="{6F4ADF90-7BBD-4241-9A4E-097BCE69511E}"/>
    <cellStyle name="Normal 3 2 3 2 4 4" xfId="9753" xr:uid="{89BB70BA-5890-4462-A6EE-A741A29E2E5F}"/>
    <cellStyle name="Normal 3 2 3 2 5" xfId="1646" xr:uid="{00000000-0005-0000-0000-00009B110000}"/>
    <cellStyle name="Normal 3 2 3 2 5 2" xfId="3876" xr:uid="{00000000-0005-0000-0000-00009C110000}"/>
    <cellStyle name="Normal 3 2 3 2 5 2 2" xfId="8100" xr:uid="{00000000-0005-0000-0000-00009D110000}"/>
    <cellStyle name="Normal 3 2 3 2 5 2 2 2" xfId="16529" xr:uid="{101517E0-C56A-43CC-83FC-D7FA17FBCEA8}"/>
    <cellStyle name="Normal 3 2 3 2 5 2 3" xfId="12311" xr:uid="{1C7F4927-223F-42D3-B8CE-5DD088747352}"/>
    <cellStyle name="Normal 3 2 3 2 5 3" xfId="5955" xr:uid="{00000000-0005-0000-0000-00009E110000}"/>
    <cellStyle name="Normal 3 2 3 2 5 3 2" xfId="14384" xr:uid="{82A6974C-E196-4D3C-B51A-6EA9B5859F03}"/>
    <cellStyle name="Normal 3 2 3 2 5 4" xfId="10166" xr:uid="{9CE6ABAA-C319-45B6-A2CB-7FDC3F47AD2B}"/>
    <cellStyle name="Normal 3 2 3 2 6" xfId="2060" xr:uid="{00000000-0005-0000-0000-00009F110000}"/>
    <cellStyle name="Normal 3 2 3 2 6 2" xfId="4289" xr:uid="{00000000-0005-0000-0000-0000A0110000}"/>
    <cellStyle name="Normal 3 2 3 2 6 2 2" xfId="8513" xr:uid="{00000000-0005-0000-0000-0000A1110000}"/>
    <cellStyle name="Normal 3 2 3 2 6 2 2 2" xfId="16942" xr:uid="{2E3AEAC7-6D7B-4FE8-97DD-A0301F9CBA8C}"/>
    <cellStyle name="Normal 3 2 3 2 6 2 3" xfId="12724" xr:uid="{5B8E7648-2616-4F38-B2DC-BA208CBC6574}"/>
    <cellStyle name="Normal 3 2 3 2 6 3" xfId="6368" xr:uid="{00000000-0005-0000-0000-0000A2110000}"/>
    <cellStyle name="Normal 3 2 3 2 6 3 2" xfId="14797" xr:uid="{BF23FFF4-8791-45E5-9465-DF49D01C7CBA}"/>
    <cellStyle name="Normal 3 2 3 2 6 4" xfId="10579" xr:uid="{BEAA1AFF-6778-4A52-958F-EE11C890A51D}"/>
    <cellStyle name="Normal 3 2 3 2 7" xfId="2496" xr:uid="{00000000-0005-0000-0000-0000A3110000}"/>
    <cellStyle name="Normal 3 2 3 2 7 2" xfId="6781" xr:uid="{00000000-0005-0000-0000-0000A4110000}"/>
    <cellStyle name="Normal 3 2 3 2 7 2 2" xfId="15210" xr:uid="{04D8C233-CD82-421D-9BB4-8E6BFD74F8FF}"/>
    <cellStyle name="Normal 3 2 3 2 7 3" xfId="10992" xr:uid="{8305BB0E-240C-4ADC-91D2-0F388C67012A}"/>
    <cellStyle name="Normal 3 2 3 2 8" xfId="4715" xr:uid="{00000000-0005-0000-0000-0000A5110000}"/>
    <cellStyle name="Normal 3 2 3 2 8 2" xfId="13144" xr:uid="{99520286-7A29-4E3E-AB3E-FFBBE69F8C68}"/>
    <cellStyle name="Normal 3 2 3 2 9" xfId="8926" xr:uid="{52EB40E4-248A-4D62-BE44-09902DF17F18}"/>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2 2" xfId="15705" xr:uid="{F5535F1D-E04E-4AD6-983C-E5E9F796D94F}"/>
    <cellStyle name="Normal 3 2 3 3 2 2 3" xfId="11487" xr:uid="{79DC42D1-D3A3-4AB0-B0E7-F906EE9843E0}"/>
    <cellStyle name="Normal 3 2 3 3 2 3" xfId="5131" xr:uid="{00000000-0005-0000-0000-0000AA110000}"/>
    <cellStyle name="Normal 3 2 3 3 2 3 2" xfId="13560" xr:uid="{A123539C-E1CF-486B-ABCF-E00D633DD755}"/>
    <cellStyle name="Normal 3 2 3 3 2 4" xfId="9342" xr:uid="{6A1F9714-2234-42C8-A684-BC5EC673CAD0}"/>
    <cellStyle name="Normal 3 2 3 3 3" xfId="1235" xr:uid="{00000000-0005-0000-0000-0000AB110000}"/>
    <cellStyle name="Normal 3 2 3 3 3 2" xfId="3465" xr:uid="{00000000-0005-0000-0000-0000AC110000}"/>
    <cellStyle name="Normal 3 2 3 3 3 2 2" xfId="7689" xr:uid="{00000000-0005-0000-0000-0000AD110000}"/>
    <cellStyle name="Normal 3 2 3 3 3 2 2 2" xfId="16118" xr:uid="{1326EEA8-7C06-4D7F-B169-80317A21B282}"/>
    <cellStyle name="Normal 3 2 3 3 3 2 3" xfId="11900" xr:uid="{B2B5E270-AE04-4239-9647-8B8B9AF6A12C}"/>
    <cellStyle name="Normal 3 2 3 3 3 3" xfId="5544" xr:uid="{00000000-0005-0000-0000-0000AE110000}"/>
    <cellStyle name="Normal 3 2 3 3 3 3 2" xfId="13973" xr:uid="{14220E58-C4D8-465F-BDCC-228D88A9A955}"/>
    <cellStyle name="Normal 3 2 3 3 3 4" xfId="9755" xr:uid="{A490D9A7-ACCD-47BD-977C-55A961156870}"/>
    <cellStyle name="Normal 3 2 3 3 4" xfId="1648" xr:uid="{00000000-0005-0000-0000-0000AF110000}"/>
    <cellStyle name="Normal 3 2 3 3 4 2" xfId="3878" xr:uid="{00000000-0005-0000-0000-0000B0110000}"/>
    <cellStyle name="Normal 3 2 3 3 4 2 2" xfId="8102" xr:uid="{00000000-0005-0000-0000-0000B1110000}"/>
    <cellStyle name="Normal 3 2 3 3 4 2 2 2" xfId="16531" xr:uid="{0AC0DF8A-9FDA-45B5-B6F1-F893A6B2E1E9}"/>
    <cellStyle name="Normal 3 2 3 3 4 2 3" xfId="12313" xr:uid="{42CC8E8B-603A-43B4-9C5E-4496983FDA66}"/>
    <cellStyle name="Normal 3 2 3 3 4 3" xfId="5957" xr:uid="{00000000-0005-0000-0000-0000B2110000}"/>
    <cellStyle name="Normal 3 2 3 3 4 3 2" xfId="14386" xr:uid="{A71A727C-D395-4AD5-A4DB-7138387B4CFB}"/>
    <cellStyle name="Normal 3 2 3 3 4 4" xfId="10168" xr:uid="{4665533A-D196-4782-BA71-5B364FBFC951}"/>
    <cellStyle name="Normal 3 2 3 3 5" xfId="2062" xr:uid="{00000000-0005-0000-0000-0000B3110000}"/>
    <cellStyle name="Normal 3 2 3 3 5 2" xfId="4291" xr:uid="{00000000-0005-0000-0000-0000B4110000}"/>
    <cellStyle name="Normal 3 2 3 3 5 2 2" xfId="8515" xr:uid="{00000000-0005-0000-0000-0000B5110000}"/>
    <cellStyle name="Normal 3 2 3 3 5 2 2 2" xfId="16944" xr:uid="{1632EF63-1E42-459D-8B4E-21396473B943}"/>
    <cellStyle name="Normal 3 2 3 3 5 2 3" xfId="12726" xr:uid="{05D64B6C-E988-4FD2-9976-BA3AD35CB7DD}"/>
    <cellStyle name="Normal 3 2 3 3 5 3" xfId="6370" xr:uid="{00000000-0005-0000-0000-0000B6110000}"/>
    <cellStyle name="Normal 3 2 3 3 5 3 2" xfId="14799" xr:uid="{8E0552A2-A288-4396-8D19-91D0AC95DCFE}"/>
    <cellStyle name="Normal 3 2 3 3 5 4" xfId="10581" xr:uid="{AB83ABC7-6002-40E3-9703-9F4B4C2E554C}"/>
    <cellStyle name="Normal 3 2 3 3 6" xfId="2498" xr:uid="{00000000-0005-0000-0000-0000B7110000}"/>
    <cellStyle name="Normal 3 2 3 3 6 2" xfId="6783" xr:uid="{00000000-0005-0000-0000-0000B8110000}"/>
    <cellStyle name="Normal 3 2 3 3 6 2 2" xfId="15212" xr:uid="{6536AE12-AF1E-45BF-8FA0-094C3EE68FED}"/>
    <cellStyle name="Normal 3 2 3 3 6 3" xfId="10994" xr:uid="{F8670FC5-B6C6-4ED2-AD97-6F96D92F4ADF}"/>
    <cellStyle name="Normal 3 2 3 3 7" xfId="4717" xr:uid="{00000000-0005-0000-0000-0000B9110000}"/>
    <cellStyle name="Normal 3 2 3 3 7 2" xfId="13146" xr:uid="{43F7EAD4-5DB5-4822-8A60-EA7756C9E2A4}"/>
    <cellStyle name="Normal 3 2 3 3 8" xfId="8928" xr:uid="{03E7E961-67B0-49BC-AE3B-0E91200F33AF}"/>
    <cellStyle name="Normal 3 2 3 4" xfId="812" xr:uid="{00000000-0005-0000-0000-0000BA110000}"/>
    <cellStyle name="Normal 3 2 3 4 2" xfId="3049" xr:uid="{00000000-0005-0000-0000-0000BB110000}"/>
    <cellStyle name="Normal 3 2 3 4 2 2" xfId="7273" xr:uid="{00000000-0005-0000-0000-0000BC110000}"/>
    <cellStyle name="Normal 3 2 3 4 2 2 2" xfId="15702" xr:uid="{6DEAEF7D-9834-4CBC-B866-C53C94B380C4}"/>
    <cellStyle name="Normal 3 2 3 4 2 3" xfId="11484" xr:uid="{BEAC5B20-C5C0-4874-9A8D-8EAB455D2ED1}"/>
    <cellStyle name="Normal 3 2 3 4 3" xfId="5128" xr:uid="{00000000-0005-0000-0000-0000BD110000}"/>
    <cellStyle name="Normal 3 2 3 4 3 2" xfId="13557" xr:uid="{BCBD2DB8-76C7-4919-84DA-93CBAB82B00C}"/>
    <cellStyle name="Normal 3 2 3 4 4" xfId="9339" xr:uid="{C234512B-F9E4-4EBF-9A06-DE1650DE4E19}"/>
    <cellStyle name="Normal 3 2 3 5" xfId="1232" xr:uid="{00000000-0005-0000-0000-0000BE110000}"/>
    <cellStyle name="Normal 3 2 3 5 2" xfId="3462" xr:uid="{00000000-0005-0000-0000-0000BF110000}"/>
    <cellStyle name="Normal 3 2 3 5 2 2" xfId="7686" xr:uid="{00000000-0005-0000-0000-0000C0110000}"/>
    <cellStyle name="Normal 3 2 3 5 2 2 2" xfId="16115" xr:uid="{B7336740-0A04-4684-AE2D-78B649D00ECA}"/>
    <cellStyle name="Normal 3 2 3 5 2 3" xfId="11897" xr:uid="{550FF6E6-F4B9-4018-90F6-DFA88E7B030E}"/>
    <cellStyle name="Normal 3 2 3 5 3" xfId="5541" xr:uid="{00000000-0005-0000-0000-0000C1110000}"/>
    <cellStyle name="Normal 3 2 3 5 3 2" xfId="13970" xr:uid="{542A8CEF-A1E9-4E3F-8313-39B6457CC1B4}"/>
    <cellStyle name="Normal 3 2 3 5 4" xfId="9752" xr:uid="{49875B71-EAAF-4BED-A60D-CA329C5DAC0F}"/>
    <cellStyle name="Normal 3 2 3 6" xfId="1645" xr:uid="{00000000-0005-0000-0000-0000C2110000}"/>
    <cellStyle name="Normal 3 2 3 6 2" xfId="3875" xr:uid="{00000000-0005-0000-0000-0000C3110000}"/>
    <cellStyle name="Normal 3 2 3 6 2 2" xfId="8099" xr:uid="{00000000-0005-0000-0000-0000C4110000}"/>
    <cellStyle name="Normal 3 2 3 6 2 2 2" xfId="16528" xr:uid="{E178CBA4-9B1C-4188-8649-96E7659D0289}"/>
    <cellStyle name="Normal 3 2 3 6 2 3" xfId="12310" xr:uid="{13C13EEA-3E7F-4D3D-9CC0-779003A49821}"/>
    <cellStyle name="Normal 3 2 3 6 3" xfId="5954" xr:uid="{00000000-0005-0000-0000-0000C5110000}"/>
    <cellStyle name="Normal 3 2 3 6 3 2" xfId="14383" xr:uid="{38B16122-91DF-4FE3-B6B9-B48D11CF5724}"/>
    <cellStyle name="Normal 3 2 3 6 4" xfId="10165" xr:uid="{F87CA987-E3D1-46AB-B250-13DD7435F01A}"/>
    <cellStyle name="Normal 3 2 3 7" xfId="2059" xr:uid="{00000000-0005-0000-0000-0000C6110000}"/>
    <cellStyle name="Normal 3 2 3 7 2" xfId="4288" xr:uid="{00000000-0005-0000-0000-0000C7110000}"/>
    <cellStyle name="Normal 3 2 3 7 2 2" xfId="8512" xr:uid="{00000000-0005-0000-0000-0000C8110000}"/>
    <cellStyle name="Normal 3 2 3 7 2 2 2" xfId="16941" xr:uid="{DD7108F3-1F5A-4703-B8BB-E7389FE3B267}"/>
    <cellStyle name="Normal 3 2 3 7 2 3" xfId="12723" xr:uid="{F878DDC4-1810-4691-AE1F-2D031683F468}"/>
    <cellStyle name="Normal 3 2 3 7 3" xfId="6367" xr:uid="{00000000-0005-0000-0000-0000C9110000}"/>
    <cellStyle name="Normal 3 2 3 7 3 2" xfId="14796" xr:uid="{A82B2832-0420-4840-8278-F0A54759F90E}"/>
    <cellStyle name="Normal 3 2 3 7 4" xfId="10578" xr:uid="{8E00A5E0-9121-4BD5-B650-963C52B74308}"/>
    <cellStyle name="Normal 3 2 3 8" xfId="2495" xr:uid="{00000000-0005-0000-0000-0000CA110000}"/>
    <cellStyle name="Normal 3 2 3 8 2" xfId="6780" xr:uid="{00000000-0005-0000-0000-0000CB110000}"/>
    <cellStyle name="Normal 3 2 3 8 2 2" xfId="15209" xr:uid="{A52A6E8C-5848-4206-BCD0-E2659EA4E6A2}"/>
    <cellStyle name="Normal 3 2 3 8 3" xfId="10991" xr:uid="{C4218992-BBA2-4295-A5EB-1AEDE1140F91}"/>
    <cellStyle name="Normal 3 2 3 9" xfId="4714" xr:uid="{00000000-0005-0000-0000-0000CC110000}"/>
    <cellStyle name="Normal 3 2 3 9 2" xfId="13143" xr:uid="{BF02D1E2-2A6B-4887-BB87-717C8A032C6D}"/>
    <cellStyle name="Normal 3 2 4" xfId="810" xr:uid="{00000000-0005-0000-0000-0000CD110000}"/>
    <cellStyle name="Normal 3 2 4 2" xfId="3048" xr:uid="{00000000-0005-0000-0000-0000CE110000}"/>
    <cellStyle name="Normal 3 2 4 2 2" xfId="7272" xr:uid="{00000000-0005-0000-0000-0000CF110000}"/>
    <cellStyle name="Normal 3 2 4 2 2 2" xfId="15701" xr:uid="{DE19AC09-6554-4661-8B56-F4DA1E5B86FB}"/>
    <cellStyle name="Normal 3 2 4 2 3" xfId="11483" xr:uid="{6B4BE49A-7A3D-4600-A288-AB6D689CD182}"/>
    <cellStyle name="Normal 3 2 4 3" xfId="5127" xr:uid="{00000000-0005-0000-0000-0000D0110000}"/>
    <cellStyle name="Normal 3 2 4 3 2" xfId="13556" xr:uid="{E7B8C369-2C35-46BD-9AD5-61FD1D9AC6FB}"/>
    <cellStyle name="Normal 3 2 4 4" xfId="9338" xr:uid="{D49FC13D-76A5-4391-9F67-7E4E2F2CD400}"/>
    <cellStyle name="Normal 3 2 5" xfId="1231" xr:uid="{00000000-0005-0000-0000-0000D1110000}"/>
    <cellStyle name="Normal 3 2 5 2" xfId="3461" xr:uid="{00000000-0005-0000-0000-0000D2110000}"/>
    <cellStyle name="Normal 3 2 5 2 2" xfId="7685" xr:uid="{00000000-0005-0000-0000-0000D3110000}"/>
    <cellStyle name="Normal 3 2 5 2 2 2" xfId="16114" xr:uid="{0926DC47-9410-4576-BFF6-92D323874B31}"/>
    <cellStyle name="Normal 3 2 5 2 3" xfId="11896" xr:uid="{9116F4E1-8D18-409B-9D44-F2886AE0C1C9}"/>
    <cellStyle name="Normal 3 2 5 3" xfId="5540" xr:uid="{00000000-0005-0000-0000-0000D4110000}"/>
    <cellStyle name="Normal 3 2 5 3 2" xfId="13969" xr:uid="{55BD8D3A-9629-4D81-A9B1-997B1035AB07}"/>
    <cellStyle name="Normal 3 2 5 4" xfId="9751" xr:uid="{4C9DEF92-0194-4042-A825-4651130D7E31}"/>
    <cellStyle name="Normal 3 2 6" xfId="1644" xr:uid="{00000000-0005-0000-0000-0000D5110000}"/>
    <cellStyle name="Normal 3 2 6 2" xfId="3874" xr:uid="{00000000-0005-0000-0000-0000D6110000}"/>
    <cellStyle name="Normal 3 2 6 2 2" xfId="8098" xr:uid="{00000000-0005-0000-0000-0000D7110000}"/>
    <cellStyle name="Normal 3 2 6 2 2 2" xfId="16527" xr:uid="{372129BD-93E8-415E-9C6C-E39A06ADE0B2}"/>
    <cellStyle name="Normal 3 2 6 2 3" xfId="12309" xr:uid="{F8D5A9D4-3ABE-44FC-8209-27A5A87CEEFF}"/>
    <cellStyle name="Normal 3 2 6 3" xfId="5953" xr:uid="{00000000-0005-0000-0000-0000D8110000}"/>
    <cellStyle name="Normal 3 2 6 3 2" xfId="14382" xr:uid="{11A46545-250C-4EE5-8703-D726701CAC77}"/>
    <cellStyle name="Normal 3 2 6 4" xfId="10164" xr:uid="{CC3076CC-D551-43BA-AB04-24FD4A82157F}"/>
    <cellStyle name="Normal 3 2 7" xfId="2058" xr:uid="{00000000-0005-0000-0000-0000D9110000}"/>
    <cellStyle name="Normal 3 2 7 2" xfId="4287" xr:uid="{00000000-0005-0000-0000-0000DA110000}"/>
    <cellStyle name="Normal 3 2 7 2 2" xfId="8511" xr:uid="{00000000-0005-0000-0000-0000DB110000}"/>
    <cellStyle name="Normal 3 2 7 2 2 2" xfId="16940" xr:uid="{355C61C8-C42C-48E0-B003-0D7B7AC5C1BE}"/>
    <cellStyle name="Normal 3 2 7 2 3" xfId="12722" xr:uid="{027F4A08-7641-4253-84A1-2CABFBA93AB5}"/>
    <cellStyle name="Normal 3 2 7 3" xfId="6366" xr:uid="{00000000-0005-0000-0000-0000DC110000}"/>
    <cellStyle name="Normal 3 2 7 3 2" xfId="14795" xr:uid="{31B8715A-A567-4D61-B284-0DC83D2D075B}"/>
    <cellStyle name="Normal 3 2 7 4" xfId="10577" xr:uid="{630C2400-8D5A-4AD1-9412-8C7B5A5D8BEB}"/>
    <cellStyle name="Normal 3 2 8" xfId="2494" xr:uid="{00000000-0005-0000-0000-0000DD110000}"/>
    <cellStyle name="Normal 3 2 8 2" xfId="6779" xr:uid="{00000000-0005-0000-0000-0000DE110000}"/>
    <cellStyle name="Normal 3 2 8 2 2" xfId="15208" xr:uid="{237BE7D0-8847-4DC6-9F58-A76BB1BAAD46}"/>
    <cellStyle name="Normal 3 2 8 3" xfId="10990" xr:uid="{2511AD58-5A04-4880-9EE8-46FAC3E48AF7}"/>
    <cellStyle name="Normal 3 2 9" xfId="4713" xr:uid="{00000000-0005-0000-0000-0000DF110000}"/>
    <cellStyle name="Normal 3 2 9 2" xfId="13142" xr:uid="{93DF6877-CB8C-4DE4-8B68-7CC36B09C5B5}"/>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10" xfId="8929" xr:uid="{6C4FA519-40A4-43E2-8742-63E497FFD5BD}"/>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2 2" xfId="16945" xr:uid="{E2D85CB0-57EF-4F5C-82B3-32B4D9A7CC64}"/>
    <cellStyle name="Normal 4 2 2 10 2 3" xfId="12727" xr:uid="{1CE30C00-CD38-4EC3-BD1F-3082B0D68800}"/>
    <cellStyle name="Normal 4 2 2 10 3" xfId="6371" xr:uid="{00000000-0005-0000-0000-0000EC110000}"/>
    <cellStyle name="Normal 4 2 2 10 3 2" xfId="14800" xr:uid="{6FA0E37D-FF74-440F-B7CC-EB66FF165228}"/>
    <cellStyle name="Normal 4 2 2 10 4" xfId="10582" xr:uid="{3A8476F9-EEA7-43FF-8FF7-BD0D29FB254F}"/>
    <cellStyle name="Normal 4 2 2 11" xfId="2499" xr:uid="{00000000-0005-0000-0000-0000ED110000}"/>
    <cellStyle name="Normal 4 2 2 11 2" xfId="6784" xr:uid="{00000000-0005-0000-0000-0000EE110000}"/>
    <cellStyle name="Normal 4 2 2 11 2 2" xfId="15213" xr:uid="{DA5BDE99-2D8A-4309-A228-72541AABE967}"/>
    <cellStyle name="Normal 4 2 2 11 3" xfId="10995" xr:uid="{18EF01BA-BD00-474E-B134-F90ED5B6A43A}"/>
    <cellStyle name="Normal 4 2 2 12" xfId="4719" xr:uid="{00000000-0005-0000-0000-0000EF110000}"/>
    <cellStyle name="Normal 4 2 2 12 2" xfId="13148" xr:uid="{CED1616A-781B-49A3-8B98-BD961D11531E}"/>
    <cellStyle name="Normal 4 2 2 13" xfId="8930" xr:uid="{EDADB247-0503-4417-B4AD-B748D0C4510A}"/>
    <cellStyle name="Normal 4 2 2 2" xfId="338" xr:uid="{00000000-0005-0000-0000-0000F0110000}"/>
    <cellStyle name="Normal 4 2 2 3" xfId="339" xr:uid="{00000000-0005-0000-0000-0000F1110000}"/>
    <cellStyle name="Normal 4 2 2 3 10" xfId="4720" xr:uid="{00000000-0005-0000-0000-0000F2110000}"/>
    <cellStyle name="Normal 4 2 2 3 10 2" xfId="13149" xr:uid="{6139DCDD-D35D-4DFD-9661-6DAC296BCD52}"/>
    <cellStyle name="Normal 4 2 2 3 11" xfId="8931" xr:uid="{0EF78A6A-2A3E-43FF-9320-8D1F86341135}"/>
    <cellStyle name="Normal 4 2 2 3 2" xfId="340" xr:uid="{00000000-0005-0000-0000-0000F3110000}"/>
    <cellStyle name="Normal 4 2 2 3 2 10" xfId="8932" xr:uid="{189D6305-63DB-4E4F-84AB-25C4040BA44A}"/>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2 2" xfId="15710" xr:uid="{EE18BC35-D10C-474C-B95F-943D0B70A7F2}"/>
    <cellStyle name="Normal 4 2 2 3 2 2 2 2 2 3" xfId="11492" xr:uid="{DD9B7068-7337-4322-B722-20492073BA40}"/>
    <cellStyle name="Normal 4 2 2 3 2 2 2 2 3" xfId="5136" xr:uid="{00000000-0005-0000-0000-0000F9110000}"/>
    <cellStyle name="Normal 4 2 2 3 2 2 2 2 3 2" xfId="13565" xr:uid="{EDA4095C-8181-40A3-AB1D-6CADBFCE4584}"/>
    <cellStyle name="Normal 4 2 2 3 2 2 2 2 4" xfId="9347" xr:uid="{54C96A1D-1B8E-44D0-8E36-09DD9AECE8C6}"/>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2 2" xfId="16123" xr:uid="{780B8924-CB36-4970-A12C-85B5A177CE65}"/>
    <cellStyle name="Normal 4 2 2 3 2 2 2 3 2 3" xfId="11905" xr:uid="{C2CA512B-95E3-4DA6-ACC0-85DD01536615}"/>
    <cellStyle name="Normal 4 2 2 3 2 2 2 3 3" xfId="5549" xr:uid="{00000000-0005-0000-0000-0000FD110000}"/>
    <cellStyle name="Normal 4 2 2 3 2 2 2 3 3 2" xfId="13978" xr:uid="{C67D1031-BF70-489D-BC57-991119DE7470}"/>
    <cellStyle name="Normal 4 2 2 3 2 2 2 3 4" xfId="9760" xr:uid="{BF1350DA-6DBA-42F8-B3B1-93F2F5B86EB3}"/>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2 2" xfId="16536" xr:uid="{89FC6559-AC27-4831-9D86-B0F97D00F0A2}"/>
    <cellStyle name="Normal 4 2 2 3 2 2 2 4 2 3" xfId="12318" xr:uid="{132E3FB6-E47A-410C-BE08-FC293A33DC90}"/>
    <cellStyle name="Normal 4 2 2 3 2 2 2 4 3" xfId="5962" xr:uid="{00000000-0005-0000-0000-000001120000}"/>
    <cellStyle name="Normal 4 2 2 3 2 2 2 4 3 2" xfId="14391" xr:uid="{E3E1F930-3804-4D88-9467-014CA215D4B5}"/>
    <cellStyle name="Normal 4 2 2 3 2 2 2 4 4" xfId="10173" xr:uid="{A7422437-D688-4686-8979-B9F02AAFF6B3}"/>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2 2" xfId="16949" xr:uid="{2E77CD6E-CF3C-4F51-B199-CF06E5CC11F6}"/>
    <cellStyle name="Normal 4 2 2 3 2 2 2 5 2 3" xfId="12731" xr:uid="{5DECB8CF-648C-489A-8D3A-8FBDCBD1EA34}"/>
    <cellStyle name="Normal 4 2 2 3 2 2 2 5 3" xfId="6375" xr:uid="{00000000-0005-0000-0000-000005120000}"/>
    <cellStyle name="Normal 4 2 2 3 2 2 2 5 3 2" xfId="14804" xr:uid="{E01DFBB4-2804-4295-8E48-6BD228BF5FE3}"/>
    <cellStyle name="Normal 4 2 2 3 2 2 2 5 4" xfId="10586" xr:uid="{592F970F-D784-4FA3-BC76-5A11F475F40D}"/>
    <cellStyle name="Normal 4 2 2 3 2 2 2 6" xfId="2503" xr:uid="{00000000-0005-0000-0000-000006120000}"/>
    <cellStyle name="Normal 4 2 2 3 2 2 2 6 2" xfId="6788" xr:uid="{00000000-0005-0000-0000-000007120000}"/>
    <cellStyle name="Normal 4 2 2 3 2 2 2 6 2 2" xfId="15217" xr:uid="{A9337524-CD87-4CF9-A737-50713C11F9ED}"/>
    <cellStyle name="Normal 4 2 2 3 2 2 2 6 3" xfId="10999" xr:uid="{9CE005B7-1391-47DC-A5AD-EE932A726439}"/>
    <cellStyle name="Normal 4 2 2 3 2 2 2 7" xfId="4723" xr:uid="{00000000-0005-0000-0000-000008120000}"/>
    <cellStyle name="Normal 4 2 2 3 2 2 2 7 2" xfId="13152" xr:uid="{51BE8430-0E55-47CB-B84E-770ED90E490C}"/>
    <cellStyle name="Normal 4 2 2 3 2 2 2 8" xfId="8934" xr:uid="{BC0C1709-3C9F-4F0A-9437-DA0A4D9D5CB2}"/>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2 2" xfId="15709" xr:uid="{BB773BC6-0BDA-4C21-8308-8BA9EACEF71A}"/>
    <cellStyle name="Normal 4 2 2 3 2 2 3 2 3" xfId="11491" xr:uid="{AD4B6BD7-010F-4FD9-AB49-E6C91B7FD8BD}"/>
    <cellStyle name="Normal 4 2 2 3 2 2 3 3" xfId="5135" xr:uid="{00000000-0005-0000-0000-00000C120000}"/>
    <cellStyle name="Normal 4 2 2 3 2 2 3 3 2" xfId="13564" xr:uid="{1770AA8C-5323-4977-AF3B-46ABD3E3678B}"/>
    <cellStyle name="Normal 4 2 2 3 2 2 3 4" xfId="9346" xr:uid="{45C1DD3E-2B3C-491B-A47E-E8DF35E2CA14}"/>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2 2" xfId="16122" xr:uid="{977287D0-A210-4916-9241-708C958F1166}"/>
    <cellStyle name="Normal 4 2 2 3 2 2 4 2 3" xfId="11904" xr:uid="{6212A318-9ACE-40EB-A3C9-F439B72AC5D5}"/>
    <cellStyle name="Normal 4 2 2 3 2 2 4 3" xfId="5548" xr:uid="{00000000-0005-0000-0000-000010120000}"/>
    <cellStyle name="Normal 4 2 2 3 2 2 4 3 2" xfId="13977" xr:uid="{17973220-5F9E-4635-9F05-0BDD89E6B66A}"/>
    <cellStyle name="Normal 4 2 2 3 2 2 4 4" xfId="9759" xr:uid="{C1C42565-8079-4A90-A659-003614F6AAAE}"/>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2 2" xfId="16535" xr:uid="{E0841553-F636-45FD-A43C-6AF13DA9189D}"/>
    <cellStyle name="Normal 4 2 2 3 2 2 5 2 3" xfId="12317" xr:uid="{B1ADEDA7-CC8C-48B9-BE7C-BE1C4FC77A09}"/>
    <cellStyle name="Normal 4 2 2 3 2 2 5 3" xfId="5961" xr:uid="{00000000-0005-0000-0000-000014120000}"/>
    <cellStyle name="Normal 4 2 2 3 2 2 5 3 2" xfId="14390" xr:uid="{734E05AF-2403-4245-A05D-604454164D4D}"/>
    <cellStyle name="Normal 4 2 2 3 2 2 5 4" xfId="10172" xr:uid="{3BA4AC59-83D8-4B87-B31D-D009996342EA}"/>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2 2" xfId="16948" xr:uid="{C21B7242-FAD1-417D-831A-8002D337C19B}"/>
    <cellStyle name="Normal 4 2 2 3 2 2 6 2 3" xfId="12730" xr:uid="{F5C915E2-CBD5-4456-8A04-AC9EC74B6572}"/>
    <cellStyle name="Normal 4 2 2 3 2 2 6 3" xfId="6374" xr:uid="{00000000-0005-0000-0000-000018120000}"/>
    <cellStyle name="Normal 4 2 2 3 2 2 6 3 2" xfId="14803" xr:uid="{E304237E-FFC2-4857-A19E-8382F9575B29}"/>
    <cellStyle name="Normal 4 2 2 3 2 2 6 4" xfId="10585" xr:uid="{8EACCD15-1CF1-4872-9632-F739D14569D5}"/>
    <cellStyle name="Normal 4 2 2 3 2 2 7" xfId="2502" xr:uid="{00000000-0005-0000-0000-000019120000}"/>
    <cellStyle name="Normal 4 2 2 3 2 2 7 2" xfId="6787" xr:uid="{00000000-0005-0000-0000-00001A120000}"/>
    <cellStyle name="Normal 4 2 2 3 2 2 7 2 2" xfId="15216" xr:uid="{91956CBE-3DC5-45CA-B804-6BC6D8C7FA71}"/>
    <cellStyle name="Normal 4 2 2 3 2 2 7 3" xfId="10998" xr:uid="{1DA3DA64-6F64-4E2B-A38A-B08DB61C9356}"/>
    <cellStyle name="Normal 4 2 2 3 2 2 8" xfId="4722" xr:uid="{00000000-0005-0000-0000-00001B120000}"/>
    <cellStyle name="Normal 4 2 2 3 2 2 8 2" xfId="13151" xr:uid="{C1CFA7D4-31CF-47B6-9F1E-39F6113CF1D4}"/>
    <cellStyle name="Normal 4 2 2 3 2 2 9" xfId="8933" xr:uid="{CBF02744-7716-4AD0-A2A6-8923E1600673}"/>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2 2" xfId="15711" xr:uid="{0A17D3B2-5B70-4243-BB41-28F0D3179CE6}"/>
    <cellStyle name="Normal 4 2 2 3 2 3 2 2 3" xfId="11493" xr:uid="{4F96BFC6-B1A3-44A9-9A9D-000BAD9EAD63}"/>
    <cellStyle name="Normal 4 2 2 3 2 3 2 3" xfId="5137" xr:uid="{00000000-0005-0000-0000-000020120000}"/>
    <cellStyle name="Normal 4 2 2 3 2 3 2 3 2" xfId="13566" xr:uid="{542D2CF5-9379-4D46-AC63-99EEB3A5B7F7}"/>
    <cellStyle name="Normal 4 2 2 3 2 3 2 4" xfId="9348" xr:uid="{9C8EB40C-FEDF-453D-B3B1-63B8EE8EB7C9}"/>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2 2" xfId="16124" xr:uid="{66C3ADEA-4DDA-4728-AD65-51CBEA033BCE}"/>
    <cellStyle name="Normal 4 2 2 3 2 3 3 2 3" xfId="11906" xr:uid="{4343733F-643E-4CEE-970E-9BD0D8F28CDC}"/>
    <cellStyle name="Normal 4 2 2 3 2 3 3 3" xfId="5550" xr:uid="{00000000-0005-0000-0000-000024120000}"/>
    <cellStyle name="Normal 4 2 2 3 2 3 3 3 2" xfId="13979" xr:uid="{8DBED398-25C8-474C-9754-30D2C5D8B365}"/>
    <cellStyle name="Normal 4 2 2 3 2 3 3 4" xfId="9761" xr:uid="{0F97BB1F-E2A0-41BC-A229-0A04D7B8D7A8}"/>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2 2" xfId="16537" xr:uid="{5005B445-B946-42B1-9513-BD1080406823}"/>
    <cellStyle name="Normal 4 2 2 3 2 3 4 2 3" xfId="12319" xr:uid="{24A9BD50-F6C3-4EB7-BDA0-31E6CCB1B637}"/>
    <cellStyle name="Normal 4 2 2 3 2 3 4 3" xfId="5963" xr:uid="{00000000-0005-0000-0000-000028120000}"/>
    <cellStyle name="Normal 4 2 2 3 2 3 4 3 2" xfId="14392" xr:uid="{D4E98890-CB87-4275-A98C-486988D67A7C}"/>
    <cellStyle name="Normal 4 2 2 3 2 3 4 4" xfId="10174" xr:uid="{AA3BA744-D16E-431D-BBE0-C9E4C7527A5F}"/>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2 2" xfId="16950" xr:uid="{EAB6BD86-D935-4A55-8F01-1456D786E70C}"/>
    <cellStyle name="Normal 4 2 2 3 2 3 5 2 3" xfId="12732" xr:uid="{FB79D8F9-BD74-4FD9-A9B8-B2878FC12EA8}"/>
    <cellStyle name="Normal 4 2 2 3 2 3 5 3" xfId="6376" xr:uid="{00000000-0005-0000-0000-00002C120000}"/>
    <cellStyle name="Normal 4 2 2 3 2 3 5 3 2" xfId="14805" xr:uid="{0EC0AC4E-E155-4070-BE8F-CD449E5E36C5}"/>
    <cellStyle name="Normal 4 2 2 3 2 3 5 4" xfId="10587" xr:uid="{67DE825F-6C44-4DD3-9899-638535CFD95E}"/>
    <cellStyle name="Normal 4 2 2 3 2 3 6" xfId="2504" xr:uid="{00000000-0005-0000-0000-00002D120000}"/>
    <cellStyle name="Normal 4 2 2 3 2 3 6 2" xfId="6789" xr:uid="{00000000-0005-0000-0000-00002E120000}"/>
    <cellStyle name="Normal 4 2 2 3 2 3 6 2 2" xfId="15218" xr:uid="{C59D40C4-DB72-45FB-A34F-BEBAF56DC328}"/>
    <cellStyle name="Normal 4 2 2 3 2 3 6 3" xfId="11000" xr:uid="{01D58B33-80CA-4ADF-A97D-75DC39FAAB34}"/>
    <cellStyle name="Normal 4 2 2 3 2 3 7" xfId="4724" xr:uid="{00000000-0005-0000-0000-00002F120000}"/>
    <cellStyle name="Normal 4 2 2 3 2 3 7 2" xfId="13153" xr:uid="{9B9B99C1-58FA-40C0-A501-8C6F9B40E963}"/>
    <cellStyle name="Normal 4 2 2 3 2 3 8" xfId="8935" xr:uid="{20EDE935-A790-4450-A328-F09B4860C121}"/>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2 2" xfId="15708" xr:uid="{C48CF347-7A49-4EAC-836D-FFBD76DC6BC3}"/>
    <cellStyle name="Normal 4 2 2 3 2 4 2 3" xfId="11490" xr:uid="{87BF25D5-C3FA-474A-8F69-788D1DB45521}"/>
    <cellStyle name="Normal 4 2 2 3 2 4 3" xfId="5134" xr:uid="{00000000-0005-0000-0000-000033120000}"/>
    <cellStyle name="Normal 4 2 2 3 2 4 3 2" xfId="13563" xr:uid="{5F266296-B81F-4022-976B-6EED5DDAB401}"/>
    <cellStyle name="Normal 4 2 2 3 2 4 4" xfId="9345" xr:uid="{134A89B9-60BF-44D7-9614-D65072A9B937}"/>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2 2" xfId="16121" xr:uid="{8CDBF32E-4D97-419E-905C-548330D7C318}"/>
    <cellStyle name="Normal 4 2 2 3 2 5 2 3" xfId="11903" xr:uid="{D86A51DC-E354-4D4B-AD5B-4114B6E8E280}"/>
    <cellStyle name="Normal 4 2 2 3 2 5 3" xfId="5547" xr:uid="{00000000-0005-0000-0000-000037120000}"/>
    <cellStyle name="Normal 4 2 2 3 2 5 3 2" xfId="13976" xr:uid="{2641329D-D268-430B-B6EE-809280B8897C}"/>
    <cellStyle name="Normal 4 2 2 3 2 5 4" xfId="9758" xr:uid="{9FE906E1-C904-4B8B-B4A5-21C50EEF5358}"/>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2 2" xfId="16534" xr:uid="{F9AF4129-C00A-4E0D-B901-65E262EDEA8B}"/>
    <cellStyle name="Normal 4 2 2 3 2 6 2 3" xfId="12316" xr:uid="{89F9FF92-BE0F-4C02-975A-D9A6340227F7}"/>
    <cellStyle name="Normal 4 2 2 3 2 6 3" xfId="5960" xr:uid="{00000000-0005-0000-0000-00003B120000}"/>
    <cellStyle name="Normal 4 2 2 3 2 6 3 2" xfId="14389" xr:uid="{F5711638-8661-4A01-BE7E-2ABE77D043FC}"/>
    <cellStyle name="Normal 4 2 2 3 2 6 4" xfId="10171" xr:uid="{6D035622-F8C0-4DCB-B12C-C73F5FEBADF4}"/>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2 2" xfId="16947" xr:uid="{911BB739-224F-4850-A39F-DD8991E05082}"/>
    <cellStyle name="Normal 4 2 2 3 2 7 2 3" xfId="12729" xr:uid="{6E079A4C-D6E0-4837-92FD-762EC06EFF85}"/>
    <cellStyle name="Normal 4 2 2 3 2 7 3" xfId="6373" xr:uid="{00000000-0005-0000-0000-00003F120000}"/>
    <cellStyle name="Normal 4 2 2 3 2 7 3 2" xfId="14802" xr:uid="{39734845-9078-48A1-AD32-2541EC1D93E6}"/>
    <cellStyle name="Normal 4 2 2 3 2 7 4" xfId="10584" xr:uid="{A8817347-7654-488B-BF55-BED6F7C75496}"/>
    <cellStyle name="Normal 4 2 2 3 2 8" xfId="2501" xr:uid="{00000000-0005-0000-0000-000040120000}"/>
    <cellStyle name="Normal 4 2 2 3 2 8 2" xfId="6786" xr:uid="{00000000-0005-0000-0000-000041120000}"/>
    <cellStyle name="Normal 4 2 2 3 2 8 2 2" xfId="15215" xr:uid="{CBF8EFF6-C452-42F5-84FC-89890F235FC7}"/>
    <cellStyle name="Normal 4 2 2 3 2 8 3" xfId="10997" xr:uid="{7C9F77A3-2884-4C71-9529-CAFE3A79B9D7}"/>
    <cellStyle name="Normal 4 2 2 3 2 9" xfId="4721" xr:uid="{00000000-0005-0000-0000-000042120000}"/>
    <cellStyle name="Normal 4 2 2 3 2 9 2" xfId="13150" xr:uid="{29F28FD3-AB7F-4E23-9BCB-C66D35FD6515}"/>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2 2" xfId="15713" xr:uid="{0DA78B8D-658B-4216-8B37-16299ACC71A4}"/>
    <cellStyle name="Normal 4 2 2 3 3 2 2 2 3" xfId="11495" xr:uid="{0F60BB72-B0F7-453A-8760-A4A11E2F5AF6}"/>
    <cellStyle name="Normal 4 2 2 3 3 2 2 3" xfId="5139" xr:uid="{00000000-0005-0000-0000-000048120000}"/>
    <cellStyle name="Normal 4 2 2 3 3 2 2 3 2" xfId="13568" xr:uid="{256CD56F-DA82-4C9C-8AEE-59BF9F737EFA}"/>
    <cellStyle name="Normal 4 2 2 3 3 2 2 4" xfId="9350" xr:uid="{D80F35AC-0DAB-49F2-B06E-EA5D89D45385}"/>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2 2" xfId="16126" xr:uid="{05357C55-7814-40F1-AE8D-C173B6741C3C}"/>
    <cellStyle name="Normal 4 2 2 3 3 2 3 2 3" xfId="11908" xr:uid="{B716E1E2-5D03-4007-99C1-7B93C7324679}"/>
    <cellStyle name="Normal 4 2 2 3 3 2 3 3" xfId="5552" xr:uid="{00000000-0005-0000-0000-00004C120000}"/>
    <cellStyle name="Normal 4 2 2 3 3 2 3 3 2" xfId="13981" xr:uid="{91DCF974-0443-41D6-B1CD-4F58E6F1FA59}"/>
    <cellStyle name="Normal 4 2 2 3 3 2 3 4" xfId="9763" xr:uid="{739DB185-9B11-4207-81C2-C792CB5012C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2 2" xfId="16539" xr:uid="{BFC4FFED-E3D2-44C3-B14A-1ED903758F3D}"/>
    <cellStyle name="Normal 4 2 2 3 3 2 4 2 3" xfId="12321" xr:uid="{16EBA38B-6ABD-49BD-900C-8216162CC752}"/>
    <cellStyle name="Normal 4 2 2 3 3 2 4 3" xfId="5965" xr:uid="{00000000-0005-0000-0000-000050120000}"/>
    <cellStyle name="Normal 4 2 2 3 3 2 4 3 2" xfId="14394" xr:uid="{B4802F3B-5A38-4F77-91D3-010ABF8FD557}"/>
    <cellStyle name="Normal 4 2 2 3 3 2 4 4" xfId="10176" xr:uid="{0D301A65-8E4C-4C37-8418-761FCA83BEDF}"/>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2 2" xfId="16952" xr:uid="{974E8E3A-3F93-4EA1-8755-861710FEA94D}"/>
    <cellStyle name="Normal 4 2 2 3 3 2 5 2 3" xfId="12734" xr:uid="{DAFA3DD9-F1BC-4375-BF46-4E4520268AF2}"/>
    <cellStyle name="Normal 4 2 2 3 3 2 5 3" xfId="6378" xr:uid="{00000000-0005-0000-0000-000054120000}"/>
    <cellStyle name="Normal 4 2 2 3 3 2 5 3 2" xfId="14807" xr:uid="{14AC2240-AAD1-472F-AFB9-57BE6F4DD9E1}"/>
    <cellStyle name="Normal 4 2 2 3 3 2 5 4" xfId="10589" xr:uid="{D09AB144-1CC3-453E-8D2A-506DA13BCF33}"/>
    <cellStyle name="Normal 4 2 2 3 3 2 6" xfId="2506" xr:uid="{00000000-0005-0000-0000-000055120000}"/>
    <cellStyle name="Normal 4 2 2 3 3 2 6 2" xfId="6791" xr:uid="{00000000-0005-0000-0000-000056120000}"/>
    <cellStyle name="Normal 4 2 2 3 3 2 6 2 2" xfId="15220" xr:uid="{65C20032-7E5A-4BBF-B92F-69EB1A8C486B}"/>
    <cellStyle name="Normal 4 2 2 3 3 2 6 3" xfId="11002" xr:uid="{E2003EE9-107D-43B6-AF49-32294B5E620A}"/>
    <cellStyle name="Normal 4 2 2 3 3 2 7" xfId="4726" xr:uid="{00000000-0005-0000-0000-000057120000}"/>
    <cellStyle name="Normal 4 2 2 3 3 2 7 2" xfId="13155" xr:uid="{A305C99C-647D-4D1F-BBDD-F6F879A7EA0D}"/>
    <cellStyle name="Normal 4 2 2 3 3 2 8" xfId="8937" xr:uid="{C5BB875B-D3AD-4893-94AA-131262BEF0D8}"/>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2 2" xfId="15712" xr:uid="{15D6ED70-1ACE-485F-B857-A5A604028002}"/>
    <cellStyle name="Normal 4 2 2 3 3 3 2 3" xfId="11494" xr:uid="{65DC525F-F98E-4E0A-B229-39CA686B817B}"/>
    <cellStyle name="Normal 4 2 2 3 3 3 3" xfId="5138" xr:uid="{00000000-0005-0000-0000-00005B120000}"/>
    <cellStyle name="Normal 4 2 2 3 3 3 3 2" xfId="13567" xr:uid="{C7B6296F-9084-4E63-8831-6F8CD29828EF}"/>
    <cellStyle name="Normal 4 2 2 3 3 3 4" xfId="9349" xr:uid="{D3768785-C989-4BF8-B426-703B46717DA8}"/>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2 2" xfId="16125" xr:uid="{26D8ABAA-F9E6-4243-A56A-7E92F116191D}"/>
    <cellStyle name="Normal 4 2 2 3 3 4 2 3" xfId="11907" xr:uid="{3E071A21-63E4-4FBF-ACC8-04416FF81851}"/>
    <cellStyle name="Normal 4 2 2 3 3 4 3" xfId="5551" xr:uid="{00000000-0005-0000-0000-00005F120000}"/>
    <cellStyle name="Normal 4 2 2 3 3 4 3 2" xfId="13980" xr:uid="{19BF38C2-0B52-4DCF-97E4-4D26859E75B6}"/>
    <cellStyle name="Normal 4 2 2 3 3 4 4" xfId="9762" xr:uid="{41230B4E-CA22-4BD4-AF99-BED323055922}"/>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2 2" xfId="16538" xr:uid="{9CEF9CFB-EC67-4BA1-9702-86228AE26603}"/>
    <cellStyle name="Normal 4 2 2 3 3 5 2 3" xfId="12320" xr:uid="{A1E31404-5BA7-466F-9217-B5265E163A92}"/>
    <cellStyle name="Normal 4 2 2 3 3 5 3" xfId="5964" xr:uid="{00000000-0005-0000-0000-000063120000}"/>
    <cellStyle name="Normal 4 2 2 3 3 5 3 2" xfId="14393" xr:uid="{6A4D079D-6699-40BE-83E9-21D610589D85}"/>
    <cellStyle name="Normal 4 2 2 3 3 5 4" xfId="10175" xr:uid="{EEF3E7D9-0C4C-4768-827A-F027B4B0FB74}"/>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2 2" xfId="16951" xr:uid="{0DB5D546-702C-4CAB-B538-7482394B1E42}"/>
    <cellStyle name="Normal 4 2 2 3 3 6 2 3" xfId="12733" xr:uid="{E885D37B-CCBA-4813-9F51-EAEC309A2666}"/>
    <cellStyle name="Normal 4 2 2 3 3 6 3" xfId="6377" xr:uid="{00000000-0005-0000-0000-000067120000}"/>
    <cellStyle name="Normal 4 2 2 3 3 6 3 2" xfId="14806" xr:uid="{54F0BEB0-885B-4047-8D06-5F0183916A8C}"/>
    <cellStyle name="Normal 4 2 2 3 3 6 4" xfId="10588" xr:uid="{71BBA821-0C60-4B0C-8878-0B22C4F96CB4}"/>
    <cellStyle name="Normal 4 2 2 3 3 7" xfId="2505" xr:uid="{00000000-0005-0000-0000-000068120000}"/>
    <cellStyle name="Normal 4 2 2 3 3 7 2" xfId="6790" xr:uid="{00000000-0005-0000-0000-000069120000}"/>
    <cellStyle name="Normal 4 2 2 3 3 7 2 2" xfId="15219" xr:uid="{8960B8BB-BB27-4146-BC74-683828D480F6}"/>
    <cellStyle name="Normal 4 2 2 3 3 7 3" xfId="11001" xr:uid="{5545E368-44D8-4BF4-A404-B8FE5B653E30}"/>
    <cellStyle name="Normal 4 2 2 3 3 8" xfId="4725" xr:uid="{00000000-0005-0000-0000-00006A120000}"/>
    <cellStyle name="Normal 4 2 2 3 3 8 2" xfId="13154" xr:uid="{6F7971A4-D7CA-4189-8D53-2789C8B7631A}"/>
    <cellStyle name="Normal 4 2 2 3 3 9" xfId="8936" xr:uid="{1492010F-E964-4DC0-AA15-BCA9271DDA81}"/>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2 2" xfId="15714" xr:uid="{FC066EA5-5EB7-4DAA-BF4B-6E7D4C7FAF97}"/>
    <cellStyle name="Normal 4 2 2 3 4 2 2 3" xfId="11496" xr:uid="{43A4B43D-20FF-4A55-9D60-1BA1C82C9FC8}"/>
    <cellStyle name="Normal 4 2 2 3 4 2 3" xfId="5140" xr:uid="{00000000-0005-0000-0000-00006F120000}"/>
    <cellStyle name="Normal 4 2 2 3 4 2 3 2" xfId="13569" xr:uid="{DF815096-D013-4FA2-A3D9-E679C787EE32}"/>
    <cellStyle name="Normal 4 2 2 3 4 2 4" xfId="9351" xr:uid="{9AB1963D-2D9D-47B6-8BAC-49BA7297BE72}"/>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2 2" xfId="16127" xr:uid="{6691EA50-F616-42D1-A783-CF67ED7E9467}"/>
    <cellStyle name="Normal 4 2 2 3 4 3 2 3" xfId="11909" xr:uid="{4A3D7E01-BB34-4594-A57E-169CF6A529F6}"/>
    <cellStyle name="Normal 4 2 2 3 4 3 3" xfId="5553" xr:uid="{00000000-0005-0000-0000-000073120000}"/>
    <cellStyle name="Normal 4 2 2 3 4 3 3 2" xfId="13982" xr:uid="{F44CAD76-1763-408F-B1AB-3FF35084E815}"/>
    <cellStyle name="Normal 4 2 2 3 4 3 4" xfId="9764" xr:uid="{193C09B0-77E4-4047-8ECC-457B4DA41495}"/>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2 2" xfId="16540" xr:uid="{C1D4A8FF-92CB-46A6-867C-AD9336B72DF1}"/>
    <cellStyle name="Normal 4 2 2 3 4 4 2 3" xfId="12322" xr:uid="{D12FFBDF-8400-4499-946D-44A1F0E4EB59}"/>
    <cellStyle name="Normal 4 2 2 3 4 4 3" xfId="5966" xr:uid="{00000000-0005-0000-0000-000077120000}"/>
    <cellStyle name="Normal 4 2 2 3 4 4 3 2" xfId="14395" xr:uid="{3F89614F-6641-4FFE-A022-3664D82AEC60}"/>
    <cellStyle name="Normal 4 2 2 3 4 4 4" xfId="10177" xr:uid="{47A73E55-95EE-4B3B-AE7B-D33EF8379508}"/>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2 2" xfId="16953" xr:uid="{3159B3C5-A787-4D41-81B1-375405DC90FD}"/>
    <cellStyle name="Normal 4 2 2 3 4 5 2 3" xfId="12735" xr:uid="{C4FF0192-3987-457B-8100-96A340163162}"/>
    <cellStyle name="Normal 4 2 2 3 4 5 3" xfId="6379" xr:uid="{00000000-0005-0000-0000-00007B120000}"/>
    <cellStyle name="Normal 4 2 2 3 4 5 3 2" xfId="14808" xr:uid="{41F2AE1E-E93E-4633-9EE3-D8DEA6ADCA03}"/>
    <cellStyle name="Normal 4 2 2 3 4 5 4" xfId="10590" xr:uid="{33B023C7-2C63-406B-A39F-33698E306975}"/>
    <cellStyle name="Normal 4 2 2 3 4 6" xfId="2507" xr:uid="{00000000-0005-0000-0000-00007C120000}"/>
    <cellStyle name="Normal 4 2 2 3 4 6 2" xfId="6792" xr:uid="{00000000-0005-0000-0000-00007D120000}"/>
    <cellStyle name="Normal 4 2 2 3 4 6 2 2" xfId="15221" xr:uid="{C902B7DD-86F7-452B-8976-83BAD202E985}"/>
    <cellStyle name="Normal 4 2 2 3 4 6 3" xfId="11003" xr:uid="{A89D38C1-E23B-41C0-8B57-DD80F2AC8659}"/>
    <cellStyle name="Normal 4 2 2 3 4 7" xfId="4727" xr:uid="{00000000-0005-0000-0000-00007E120000}"/>
    <cellStyle name="Normal 4 2 2 3 4 7 2" xfId="13156" xr:uid="{55A20906-8A9F-45DB-8933-01389153D1C6}"/>
    <cellStyle name="Normal 4 2 2 3 4 8" xfId="8938" xr:uid="{B26BB926-EC1F-40C2-8739-2C2082C194AD}"/>
    <cellStyle name="Normal 4 2 2 3 5" xfId="817" xr:uid="{00000000-0005-0000-0000-00007F120000}"/>
    <cellStyle name="Normal 4 2 2 3 5 2" xfId="3054" xr:uid="{00000000-0005-0000-0000-000080120000}"/>
    <cellStyle name="Normal 4 2 2 3 5 2 2" xfId="7278" xr:uid="{00000000-0005-0000-0000-000081120000}"/>
    <cellStyle name="Normal 4 2 2 3 5 2 2 2" xfId="15707" xr:uid="{A346B3C3-9B71-4B7D-B4C8-EE7C2C354646}"/>
    <cellStyle name="Normal 4 2 2 3 5 2 3" xfId="11489" xr:uid="{EC585E0C-0B18-4329-A3F5-57061A8B74CE}"/>
    <cellStyle name="Normal 4 2 2 3 5 3" xfId="5133" xr:uid="{00000000-0005-0000-0000-000082120000}"/>
    <cellStyle name="Normal 4 2 2 3 5 3 2" xfId="13562" xr:uid="{0D3C28A2-5F52-44F7-A218-C13C8A10E7F8}"/>
    <cellStyle name="Normal 4 2 2 3 5 4" xfId="9344" xr:uid="{09C481B3-C240-4400-9B12-F0AF8E56D618}"/>
    <cellStyle name="Normal 4 2 2 3 6" xfId="1237" xr:uid="{00000000-0005-0000-0000-000083120000}"/>
    <cellStyle name="Normal 4 2 2 3 6 2" xfId="3467" xr:uid="{00000000-0005-0000-0000-000084120000}"/>
    <cellStyle name="Normal 4 2 2 3 6 2 2" xfId="7691" xr:uid="{00000000-0005-0000-0000-000085120000}"/>
    <cellStyle name="Normal 4 2 2 3 6 2 2 2" xfId="16120" xr:uid="{6B966BDE-6E64-4456-9500-0008EAA02B3D}"/>
    <cellStyle name="Normal 4 2 2 3 6 2 3" xfId="11902" xr:uid="{92E5EE63-CCAD-4624-9485-E8E7AFB07FC2}"/>
    <cellStyle name="Normal 4 2 2 3 6 3" xfId="5546" xr:uid="{00000000-0005-0000-0000-000086120000}"/>
    <cellStyle name="Normal 4 2 2 3 6 3 2" xfId="13975" xr:uid="{3E2AE6E0-8612-419C-A3D8-CB972A18CC3B}"/>
    <cellStyle name="Normal 4 2 2 3 6 4" xfId="9757" xr:uid="{450E7144-B90C-495F-8892-9F18DB7F740A}"/>
    <cellStyle name="Normal 4 2 2 3 7" xfId="1650" xr:uid="{00000000-0005-0000-0000-000087120000}"/>
    <cellStyle name="Normal 4 2 2 3 7 2" xfId="3880" xr:uid="{00000000-0005-0000-0000-000088120000}"/>
    <cellStyle name="Normal 4 2 2 3 7 2 2" xfId="8104" xr:uid="{00000000-0005-0000-0000-000089120000}"/>
    <cellStyle name="Normal 4 2 2 3 7 2 2 2" xfId="16533" xr:uid="{2008C7EE-9DCC-4A95-AFC6-2A146B16BD28}"/>
    <cellStyle name="Normal 4 2 2 3 7 2 3" xfId="12315" xr:uid="{0F1A8E5B-48DF-4793-BFD8-0CD125A81F58}"/>
    <cellStyle name="Normal 4 2 2 3 7 3" xfId="5959" xr:uid="{00000000-0005-0000-0000-00008A120000}"/>
    <cellStyle name="Normal 4 2 2 3 7 3 2" xfId="14388" xr:uid="{C3996D6E-DC84-4264-A2E7-560836010EF1}"/>
    <cellStyle name="Normal 4 2 2 3 7 4" xfId="10170" xr:uid="{E65847DA-EFC2-433A-A1E6-2C15A68C19D1}"/>
    <cellStyle name="Normal 4 2 2 3 8" xfId="2064" xr:uid="{00000000-0005-0000-0000-00008B120000}"/>
    <cellStyle name="Normal 4 2 2 3 8 2" xfId="4293" xr:uid="{00000000-0005-0000-0000-00008C120000}"/>
    <cellStyle name="Normal 4 2 2 3 8 2 2" xfId="8517" xr:uid="{00000000-0005-0000-0000-00008D120000}"/>
    <cellStyle name="Normal 4 2 2 3 8 2 2 2" xfId="16946" xr:uid="{785682D5-FF85-453E-8D15-4D45FBB4BE1E}"/>
    <cellStyle name="Normal 4 2 2 3 8 2 3" xfId="12728" xr:uid="{9AF70381-7AD5-4E40-A045-B83D4CF588DC}"/>
    <cellStyle name="Normal 4 2 2 3 8 3" xfId="6372" xr:uid="{00000000-0005-0000-0000-00008E120000}"/>
    <cellStyle name="Normal 4 2 2 3 8 3 2" xfId="14801" xr:uid="{E14D9C1D-9A87-4488-9F6A-62AB095AFD45}"/>
    <cellStyle name="Normal 4 2 2 3 8 4" xfId="10583" xr:uid="{EFF2B535-F100-47D4-BE40-CB039851236B}"/>
    <cellStyle name="Normal 4 2 2 3 9" xfId="2500" xr:uid="{00000000-0005-0000-0000-00008F120000}"/>
    <cellStyle name="Normal 4 2 2 3 9 2" xfId="6785" xr:uid="{00000000-0005-0000-0000-000090120000}"/>
    <cellStyle name="Normal 4 2 2 3 9 2 2" xfId="15214" xr:uid="{507A8B6F-3A3C-4EFC-8904-FC551BFAA2B0}"/>
    <cellStyle name="Normal 4 2 2 3 9 3" xfId="10996" xr:uid="{53D11063-F811-4ED9-80E1-F188AA032828}"/>
    <cellStyle name="Normal 4 2 2 4" xfId="347" xr:uid="{00000000-0005-0000-0000-000091120000}"/>
    <cellStyle name="Normal 4 2 2 4 10" xfId="8939" xr:uid="{946B99DF-20AD-4F0F-ACB7-F631F3AED224}"/>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2 2" xfId="15717" xr:uid="{A85E4740-5916-4B11-8093-CCF73FF49863}"/>
    <cellStyle name="Normal 4 2 2 4 2 2 2 2 3" xfId="11499" xr:uid="{21B4FBB1-CC77-432F-A1E1-FBB8323BC756}"/>
    <cellStyle name="Normal 4 2 2 4 2 2 2 3" xfId="5143" xr:uid="{00000000-0005-0000-0000-000097120000}"/>
    <cellStyle name="Normal 4 2 2 4 2 2 2 3 2" xfId="13572" xr:uid="{EB4BF88F-C938-4601-A122-C20D34D00ABC}"/>
    <cellStyle name="Normal 4 2 2 4 2 2 2 4" xfId="9354" xr:uid="{3825F308-F46E-4023-8190-E51EE64B8F21}"/>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2 2" xfId="16130" xr:uid="{A06D050D-D516-4370-A6FD-03189696182B}"/>
    <cellStyle name="Normal 4 2 2 4 2 2 3 2 3" xfId="11912" xr:uid="{154FB805-F997-4382-85A6-E7C25B8B335D}"/>
    <cellStyle name="Normal 4 2 2 4 2 2 3 3" xfId="5556" xr:uid="{00000000-0005-0000-0000-00009B120000}"/>
    <cellStyle name="Normal 4 2 2 4 2 2 3 3 2" xfId="13985" xr:uid="{62A40B77-A8D9-46F6-9AFA-E9494DCB1F7E}"/>
    <cellStyle name="Normal 4 2 2 4 2 2 3 4" xfId="9767" xr:uid="{7F8142F7-B8A7-43A5-8F6E-AD1C69A4ED94}"/>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2 2" xfId="16543" xr:uid="{66F55AE7-92CB-47BC-BBE2-890E81FA2458}"/>
    <cellStyle name="Normal 4 2 2 4 2 2 4 2 3" xfId="12325" xr:uid="{0CD71635-A981-476B-8A7A-0CC45B331381}"/>
    <cellStyle name="Normal 4 2 2 4 2 2 4 3" xfId="5969" xr:uid="{00000000-0005-0000-0000-00009F120000}"/>
    <cellStyle name="Normal 4 2 2 4 2 2 4 3 2" xfId="14398" xr:uid="{8432FBDA-A21C-4EB0-BBBE-BC82127D77B5}"/>
    <cellStyle name="Normal 4 2 2 4 2 2 4 4" xfId="10180" xr:uid="{0BD37A3A-C7E0-4829-957C-75E0B0C4415A}"/>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2 2" xfId="16956" xr:uid="{7955FC3F-B687-4A6F-A38A-35F94928AF89}"/>
    <cellStyle name="Normal 4 2 2 4 2 2 5 2 3" xfId="12738" xr:uid="{35341458-2714-477E-BC56-43C3633E46C6}"/>
    <cellStyle name="Normal 4 2 2 4 2 2 5 3" xfId="6382" xr:uid="{00000000-0005-0000-0000-0000A3120000}"/>
    <cellStyle name="Normal 4 2 2 4 2 2 5 3 2" xfId="14811" xr:uid="{64F9B79F-5198-45D8-9919-6643DCD1F07E}"/>
    <cellStyle name="Normal 4 2 2 4 2 2 5 4" xfId="10593" xr:uid="{5E3BD133-4F7E-4C39-A394-193C15D8B1E2}"/>
    <cellStyle name="Normal 4 2 2 4 2 2 6" xfId="2510" xr:uid="{00000000-0005-0000-0000-0000A4120000}"/>
    <cellStyle name="Normal 4 2 2 4 2 2 6 2" xfId="6795" xr:uid="{00000000-0005-0000-0000-0000A5120000}"/>
    <cellStyle name="Normal 4 2 2 4 2 2 6 2 2" xfId="15224" xr:uid="{D28C217D-BE4F-4F85-ADC2-34676285781B}"/>
    <cellStyle name="Normal 4 2 2 4 2 2 6 3" xfId="11006" xr:uid="{B837AD1B-A31B-408B-9C44-83334728C2A2}"/>
    <cellStyle name="Normal 4 2 2 4 2 2 7" xfId="4730" xr:uid="{00000000-0005-0000-0000-0000A6120000}"/>
    <cellStyle name="Normal 4 2 2 4 2 2 7 2" xfId="13159" xr:uid="{B96790B9-9C1F-4F9B-8AB5-52CEACC578E2}"/>
    <cellStyle name="Normal 4 2 2 4 2 2 8" xfId="8941" xr:uid="{FA243224-9437-4D0C-AED4-37DC2B1294F7}"/>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2 2" xfId="15716" xr:uid="{F7DA86EB-6DDB-4503-84EB-FBA77EBB62C8}"/>
    <cellStyle name="Normal 4 2 2 4 2 3 2 3" xfId="11498" xr:uid="{221B17FB-A3C2-4658-B242-7D777734626E}"/>
    <cellStyle name="Normal 4 2 2 4 2 3 3" xfId="5142" xr:uid="{00000000-0005-0000-0000-0000AA120000}"/>
    <cellStyle name="Normal 4 2 2 4 2 3 3 2" xfId="13571" xr:uid="{287861FE-0E8F-4DDC-8C1A-0DFABF5C7FF6}"/>
    <cellStyle name="Normal 4 2 2 4 2 3 4" xfId="9353" xr:uid="{D0037752-AE0F-4B05-A06C-C405EE9DC913}"/>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2 2" xfId="16129" xr:uid="{981F0504-1763-4B5B-B64A-C476C01007AA}"/>
    <cellStyle name="Normal 4 2 2 4 2 4 2 3" xfId="11911" xr:uid="{F5C7B2FA-2F7F-4D6C-9E73-9E4F9247D6CC}"/>
    <cellStyle name="Normal 4 2 2 4 2 4 3" xfId="5555" xr:uid="{00000000-0005-0000-0000-0000AE120000}"/>
    <cellStyle name="Normal 4 2 2 4 2 4 3 2" xfId="13984" xr:uid="{B71EA91C-9853-457D-87B0-12D407ABA367}"/>
    <cellStyle name="Normal 4 2 2 4 2 4 4" xfId="9766" xr:uid="{194BEE3C-5D74-4880-A8CA-3CA76665B5B2}"/>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2 2" xfId="16542" xr:uid="{32510F7D-1D0D-4690-B8D9-59835E3D627C}"/>
    <cellStyle name="Normal 4 2 2 4 2 5 2 3" xfId="12324" xr:uid="{2BB29BDE-CBF1-4654-A41A-DC0FCA12436F}"/>
    <cellStyle name="Normal 4 2 2 4 2 5 3" xfId="5968" xr:uid="{00000000-0005-0000-0000-0000B2120000}"/>
    <cellStyle name="Normal 4 2 2 4 2 5 3 2" xfId="14397" xr:uid="{ADE1ADE3-918A-4AEB-B142-20B7A25BC863}"/>
    <cellStyle name="Normal 4 2 2 4 2 5 4" xfId="10179" xr:uid="{2389A2F0-5CAE-4F57-9AB7-767683878415}"/>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2 2" xfId="16955" xr:uid="{7E9F39AA-DBE6-4E28-ADC4-48670A1265D9}"/>
    <cellStyle name="Normal 4 2 2 4 2 6 2 3" xfId="12737" xr:uid="{0C576F32-D880-4855-8237-A5C45D06CA12}"/>
    <cellStyle name="Normal 4 2 2 4 2 6 3" xfId="6381" xr:uid="{00000000-0005-0000-0000-0000B6120000}"/>
    <cellStyle name="Normal 4 2 2 4 2 6 3 2" xfId="14810" xr:uid="{4A9C8F25-976E-4B66-81A5-FA29F8380915}"/>
    <cellStyle name="Normal 4 2 2 4 2 6 4" xfId="10592" xr:uid="{A47E3CF8-92DD-48A1-AF8B-A8BD62516A57}"/>
    <cellStyle name="Normal 4 2 2 4 2 7" xfId="2509" xr:uid="{00000000-0005-0000-0000-0000B7120000}"/>
    <cellStyle name="Normal 4 2 2 4 2 7 2" xfId="6794" xr:uid="{00000000-0005-0000-0000-0000B8120000}"/>
    <cellStyle name="Normal 4 2 2 4 2 7 2 2" xfId="15223" xr:uid="{6F67BFA2-5CD6-488A-9EAA-478174601DCD}"/>
    <cellStyle name="Normal 4 2 2 4 2 7 3" xfId="11005" xr:uid="{C3314C99-050F-4013-9ACB-12343AB398BE}"/>
    <cellStyle name="Normal 4 2 2 4 2 8" xfId="4729" xr:uid="{00000000-0005-0000-0000-0000B9120000}"/>
    <cellStyle name="Normal 4 2 2 4 2 8 2" xfId="13158" xr:uid="{23587939-DE04-4E32-87A0-4207A155DFE8}"/>
    <cellStyle name="Normal 4 2 2 4 2 9" xfId="8940" xr:uid="{CA094DBF-10F8-4BC1-8E13-AB0AA2CB17A2}"/>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2 2" xfId="15718" xr:uid="{C475A77B-BFB5-4FBC-BC67-B2D6FE00296C}"/>
    <cellStyle name="Normal 4 2 2 4 3 2 2 3" xfId="11500" xr:uid="{3A9A0585-2C37-449F-90A8-6773E4BF235B}"/>
    <cellStyle name="Normal 4 2 2 4 3 2 3" xfId="5144" xr:uid="{00000000-0005-0000-0000-0000BE120000}"/>
    <cellStyle name="Normal 4 2 2 4 3 2 3 2" xfId="13573" xr:uid="{05BFE6A3-FE94-4438-B611-FFA791BD2E12}"/>
    <cellStyle name="Normal 4 2 2 4 3 2 4" xfId="9355" xr:uid="{8D231333-619A-4A0B-AB7D-6CB2B64F806A}"/>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2 2" xfId="16131" xr:uid="{CC9D608E-9A23-4B9E-87FF-6D37A181424D}"/>
    <cellStyle name="Normal 4 2 2 4 3 3 2 3" xfId="11913" xr:uid="{06ACB3A4-22FC-4A6C-AF73-DC3454B9CC8D}"/>
    <cellStyle name="Normal 4 2 2 4 3 3 3" xfId="5557" xr:uid="{00000000-0005-0000-0000-0000C2120000}"/>
    <cellStyle name="Normal 4 2 2 4 3 3 3 2" xfId="13986" xr:uid="{28FBAA50-EC0B-41D0-835A-86045F2A85F5}"/>
    <cellStyle name="Normal 4 2 2 4 3 3 4" xfId="9768" xr:uid="{BD2D340A-5E82-4863-AA3D-9240272C8388}"/>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2 2" xfId="16544" xr:uid="{BF5A97A8-E5C8-4E3D-9AAB-BD9F70021241}"/>
    <cellStyle name="Normal 4 2 2 4 3 4 2 3" xfId="12326" xr:uid="{24A5AEB5-513C-4B57-B570-EED1CA7A57D6}"/>
    <cellStyle name="Normal 4 2 2 4 3 4 3" xfId="5970" xr:uid="{00000000-0005-0000-0000-0000C6120000}"/>
    <cellStyle name="Normal 4 2 2 4 3 4 3 2" xfId="14399" xr:uid="{B347E744-A3D8-4AC4-A023-BEEE1B6AFDE6}"/>
    <cellStyle name="Normal 4 2 2 4 3 4 4" xfId="10181" xr:uid="{478ED789-7A66-4C10-8F57-7BDDB4B91AC4}"/>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2 2" xfId="16957" xr:uid="{88D2050C-D36E-4015-82C3-9992C0BBD950}"/>
    <cellStyle name="Normal 4 2 2 4 3 5 2 3" xfId="12739" xr:uid="{2C353FDC-AFC7-4C39-85A1-B4287E31CAE4}"/>
    <cellStyle name="Normal 4 2 2 4 3 5 3" xfId="6383" xr:uid="{00000000-0005-0000-0000-0000CA120000}"/>
    <cellStyle name="Normal 4 2 2 4 3 5 3 2" xfId="14812" xr:uid="{68BE9D8D-899C-4797-B425-5F2B46900D18}"/>
    <cellStyle name="Normal 4 2 2 4 3 5 4" xfId="10594" xr:uid="{0CDF448D-0B4B-498E-B55F-D1964BCF1D5B}"/>
    <cellStyle name="Normal 4 2 2 4 3 6" xfId="2511" xr:uid="{00000000-0005-0000-0000-0000CB120000}"/>
    <cellStyle name="Normal 4 2 2 4 3 6 2" xfId="6796" xr:uid="{00000000-0005-0000-0000-0000CC120000}"/>
    <cellStyle name="Normal 4 2 2 4 3 6 2 2" xfId="15225" xr:uid="{E58A27DE-7169-4C64-B1C1-A02B3C1AC908}"/>
    <cellStyle name="Normal 4 2 2 4 3 6 3" xfId="11007" xr:uid="{1C2D95CF-9568-4007-8D14-384D67AB0FED}"/>
    <cellStyle name="Normal 4 2 2 4 3 7" xfId="4731" xr:uid="{00000000-0005-0000-0000-0000CD120000}"/>
    <cellStyle name="Normal 4 2 2 4 3 7 2" xfId="13160" xr:uid="{B4715C10-2DA5-4D62-92A0-2078C93A3C08}"/>
    <cellStyle name="Normal 4 2 2 4 3 8" xfId="8942" xr:uid="{1A729ED0-DD01-45B1-BF21-A31F7114323B}"/>
    <cellStyle name="Normal 4 2 2 4 4" xfId="825" xr:uid="{00000000-0005-0000-0000-0000CE120000}"/>
    <cellStyle name="Normal 4 2 2 4 4 2" xfId="3062" xr:uid="{00000000-0005-0000-0000-0000CF120000}"/>
    <cellStyle name="Normal 4 2 2 4 4 2 2" xfId="7286" xr:uid="{00000000-0005-0000-0000-0000D0120000}"/>
    <cellStyle name="Normal 4 2 2 4 4 2 2 2" xfId="15715" xr:uid="{AB4F0092-CAC1-4F82-96C8-52D71178D831}"/>
    <cellStyle name="Normal 4 2 2 4 4 2 3" xfId="11497" xr:uid="{79A8672B-9A5F-4482-AFA2-47DE0C3E364C}"/>
    <cellStyle name="Normal 4 2 2 4 4 3" xfId="5141" xr:uid="{00000000-0005-0000-0000-0000D1120000}"/>
    <cellStyle name="Normal 4 2 2 4 4 3 2" xfId="13570" xr:uid="{2872BF00-6DE2-4A4C-A902-21FA90D55E4A}"/>
    <cellStyle name="Normal 4 2 2 4 4 4" xfId="9352" xr:uid="{DB83C087-1778-4B8C-A766-056092BE5726}"/>
    <cellStyle name="Normal 4 2 2 4 5" xfId="1245" xr:uid="{00000000-0005-0000-0000-0000D2120000}"/>
    <cellStyle name="Normal 4 2 2 4 5 2" xfId="3475" xr:uid="{00000000-0005-0000-0000-0000D3120000}"/>
    <cellStyle name="Normal 4 2 2 4 5 2 2" xfId="7699" xr:uid="{00000000-0005-0000-0000-0000D4120000}"/>
    <cellStyle name="Normal 4 2 2 4 5 2 2 2" xfId="16128" xr:uid="{78417762-7DE0-4E4B-8C39-4D75E324C41F}"/>
    <cellStyle name="Normal 4 2 2 4 5 2 3" xfId="11910" xr:uid="{ED6C55A2-2CC5-42C1-8221-1FD7949FF0C6}"/>
    <cellStyle name="Normal 4 2 2 4 5 3" xfId="5554" xr:uid="{00000000-0005-0000-0000-0000D5120000}"/>
    <cellStyle name="Normal 4 2 2 4 5 3 2" xfId="13983" xr:uid="{8163333C-FAD3-4A06-8BD1-789D7A90BEBD}"/>
    <cellStyle name="Normal 4 2 2 4 5 4" xfId="9765" xr:uid="{27333FA5-C3B3-4C7E-A104-08FD67B1CE1F}"/>
    <cellStyle name="Normal 4 2 2 4 6" xfId="1658" xr:uid="{00000000-0005-0000-0000-0000D6120000}"/>
    <cellStyle name="Normal 4 2 2 4 6 2" xfId="3888" xr:uid="{00000000-0005-0000-0000-0000D7120000}"/>
    <cellStyle name="Normal 4 2 2 4 6 2 2" xfId="8112" xr:uid="{00000000-0005-0000-0000-0000D8120000}"/>
    <cellStyle name="Normal 4 2 2 4 6 2 2 2" xfId="16541" xr:uid="{EFD712C2-CF70-48E1-86B4-6586D6CC007F}"/>
    <cellStyle name="Normal 4 2 2 4 6 2 3" xfId="12323" xr:uid="{55D71961-4F42-4CB6-AE81-33DFE33FCABA}"/>
    <cellStyle name="Normal 4 2 2 4 6 3" xfId="5967" xr:uid="{00000000-0005-0000-0000-0000D9120000}"/>
    <cellStyle name="Normal 4 2 2 4 6 3 2" xfId="14396" xr:uid="{5719DDC1-154D-4619-A6E5-02E0CD0DF494}"/>
    <cellStyle name="Normal 4 2 2 4 6 4" xfId="10178" xr:uid="{06431848-88FF-403A-86D7-5CC2AF9B9221}"/>
    <cellStyle name="Normal 4 2 2 4 7" xfId="2072" xr:uid="{00000000-0005-0000-0000-0000DA120000}"/>
    <cellStyle name="Normal 4 2 2 4 7 2" xfId="4301" xr:uid="{00000000-0005-0000-0000-0000DB120000}"/>
    <cellStyle name="Normal 4 2 2 4 7 2 2" xfId="8525" xr:uid="{00000000-0005-0000-0000-0000DC120000}"/>
    <cellStyle name="Normal 4 2 2 4 7 2 2 2" xfId="16954" xr:uid="{CED97257-5A3A-4843-8E20-028B83614D9A}"/>
    <cellStyle name="Normal 4 2 2 4 7 2 3" xfId="12736" xr:uid="{F0912C3A-5F2A-4BA1-9E94-DA2086F9A429}"/>
    <cellStyle name="Normal 4 2 2 4 7 3" xfId="6380" xr:uid="{00000000-0005-0000-0000-0000DD120000}"/>
    <cellStyle name="Normal 4 2 2 4 7 3 2" xfId="14809" xr:uid="{3663A6FC-804E-45A6-977A-32FFA4BD7341}"/>
    <cellStyle name="Normal 4 2 2 4 7 4" xfId="10591" xr:uid="{EF629612-9F37-4D0C-8ED7-44A31894C0AC}"/>
    <cellStyle name="Normal 4 2 2 4 8" xfId="2508" xr:uid="{00000000-0005-0000-0000-0000DE120000}"/>
    <cellStyle name="Normal 4 2 2 4 8 2" xfId="6793" xr:uid="{00000000-0005-0000-0000-0000DF120000}"/>
    <cellStyle name="Normal 4 2 2 4 8 2 2" xfId="15222" xr:uid="{C276B953-5E04-4672-A788-F9E6824B2D71}"/>
    <cellStyle name="Normal 4 2 2 4 8 3" xfId="11004" xr:uid="{A460F5D5-F331-4C16-A499-565DF7B22D6D}"/>
    <cellStyle name="Normal 4 2 2 4 9" xfId="4728" xr:uid="{00000000-0005-0000-0000-0000E0120000}"/>
    <cellStyle name="Normal 4 2 2 4 9 2" xfId="13157" xr:uid="{984A748C-6779-4228-83BC-4792F7F1BF23}"/>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2 2" xfId="15720" xr:uid="{B6E1DF62-B87D-406C-9A52-2DBA451C823B}"/>
    <cellStyle name="Normal 4 2 2 5 2 2 2 3" xfId="11502" xr:uid="{27F0F5D6-9DD3-4BDF-AD36-026A8ED77967}"/>
    <cellStyle name="Normal 4 2 2 5 2 2 3" xfId="5146" xr:uid="{00000000-0005-0000-0000-0000E6120000}"/>
    <cellStyle name="Normal 4 2 2 5 2 2 3 2" xfId="13575" xr:uid="{248787E4-8974-4857-9FC8-42D0E50F0C21}"/>
    <cellStyle name="Normal 4 2 2 5 2 2 4" xfId="9357" xr:uid="{7D223E73-A2A2-4380-B379-9E37ACA980DF}"/>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2 2" xfId="16133" xr:uid="{F6675D8C-F994-48BB-9124-B506B42E82BA}"/>
    <cellStyle name="Normal 4 2 2 5 2 3 2 3" xfId="11915" xr:uid="{210899B6-3178-4646-A0BC-A5F8B2330262}"/>
    <cellStyle name="Normal 4 2 2 5 2 3 3" xfId="5559" xr:uid="{00000000-0005-0000-0000-0000EA120000}"/>
    <cellStyle name="Normal 4 2 2 5 2 3 3 2" xfId="13988" xr:uid="{0FF214AE-0E82-4782-BE0C-EBE5533D1F70}"/>
    <cellStyle name="Normal 4 2 2 5 2 3 4" xfId="9770" xr:uid="{30F43E79-BDBD-4230-BE66-7994A2B684F9}"/>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2 2" xfId="16546" xr:uid="{0A9379EA-C9F7-426B-AC5D-FC52B7D7CEA1}"/>
    <cellStyle name="Normal 4 2 2 5 2 4 2 3" xfId="12328" xr:uid="{7A07AE4A-67D7-48E4-B718-FB8EACE8CC73}"/>
    <cellStyle name="Normal 4 2 2 5 2 4 3" xfId="5972" xr:uid="{00000000-0005-0000-0000-0000EE120000}"/>
    <cellStyle name="Normal 4 2 2 5 2 4 3 2" xfId="14401" xr:uid="{D96F12BF-917F-4BAA-9891-18E35D89A755}"/>
    <cellStyle name="Normal 4 2 2 5 2 4 4" xfId="10183" xr:uid="{6DF997E3-4703-4F33-A0C3-8C9046B74E02}"/>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2 2" xfId="16959" xr:uid="{13ED38D2-A49E-44B7-8C8F-BDD413CECA83}"/>
    <cellStyle name="Normal 4 2 2 5 2 5 2 3" xfId="12741" xr:uid="{59C378F9-E7CA-48DF-9404-4D2F01C3FF22}"/>
    <cellStyle name="Normal 4 2 2 5 2 5 3" xfId="6385" xr:uid="{00000000-0005-0000-0000-0000F2120000}"/>
    <cellStyle name="Normal 4 2 2 5 2 5 3 2" xfId="14814" xr:uid="{A09A3408-4A89-400C-93E1-5CC3E0068567}"/>
    <cellStyle name="Normal 4 2 2 5 2 5 4" xfId="10596" xr:uid="{43268E17-ADAB-44EA-A771-A4BD567F0D26}"/>
    <cellStyle name="Normal 4 2 2 5 2 6" xfId="2513" xr:uid="{00000000-0005-0000-0000-0000F3120000}"/>
    <cellStyle name="Normal 4 2 2 5 2 6 2" xfId="6798" xr:uid="{00000000-0005-0000-0000-0000F4120000}"/>
    <cellStyle name="Normal 4 2 2 5 2 6 2 2" xfId="15227" xr:uid="{D08973E8-8D6A-4B47-BB0D-2B4BCCCE59EA}"/>
    <cellStyle name="Normal 4 2 2 5 2 6 3" xfId="11009" xr:uid="{B4545043-114D-43DB-8403-26704915909A}"/>
    <cellStyle name="Normal 4 2 2 5 2 7" xfId="4733" xr:uid="{00000000-0005-0000-0000-0000F5120000}"/>
    <cellStyle name="Normal 4 2 2 5 2 7 2" xfId="13162" xr:uid="{24F0E5CC-D162-4561-B7C5-C9731FA6A015}"/>
    <cellStyle name="Normal 4 2 2 5 2 8" xfId="8944" xr:uid="{A2B9EE78-0DFD-4881-B854-928F269C0437}"/>
    <cellStyle name="Normal 4 2 2 5 3" xfId="829" xr:uid="{00000000-0005-0000-0000-0000F6120000}"/>
    <cellStyle name="Normal 4 2 2 5 3 2" xfId="3066" xr:uid="{00000000-0005-0000-0000-0000F7120000}"/>
    <cellStyle name="Normal 4 2 2 5 3 2 2" xfId="7290" xr:uid="{00000000-0005-0000-0000-0000F8120000}"/>
    <cellStyle name="Normal 4 2 2 5 3 2 2 2" xfId="15719" xr:uid="{FDAC3B09-A999-4E10-8A4A-4CA1FDDEEEFA}"/>
    <cellStyle name="Normal 4 2 2 5 3 2 3" xfId="11501" xr:uid="{9539501C-D845-46D7-9F06-8563D05A2687}"/>
    <cellStyle name="Normal 4 2 2 5 3 3" xfId="5145" xr:uid="{00000000-0005-0000-0000-0000F9120000}"/>
    <cellStyle name="Normal 4 2 2 5 3 3 2" xfId="13574" xr:uid="{8C079804-D69A-4E6D-A91D-45418985FE0F}"/>
    <cellStyle name="Normal 4 2 2 5 3 4" xfId="9356" xr:uid="{C20B2DD9-16D8-45B7-866E-DC3EE9E4BBBC}"/>
    <cellStyle name="Normal 4 2 2 5 4" xfId="1249" xr:uid="{00000000-0005-0000-0000-0000FA120000}"/>
    <cellStyle name="Normal 4 2 2 5 4 2" xfId="3479" xr:uid="{00000000-0005-0000-0000-0000FB120000}"/>
    <cellStyle name="Normal 4 2 2 5 4 2 2" xfId="7703" xr:uid="{00000000-0005-0000-0000-0000FC120000}"/>
    <cellStyle name="Normal 4 2 2 5 4 2 2 2" xfId="16132" xr:uid="{8982FF3D-F0C9-4806-90D7-1576E91C68B8}"/>
    <cellStyle name="Normal 4 2 2 5 4 2 3" xfId="11914" xr:uid="{835B584A-D309-4042-8A22-2A59D1DA145E}"/>
    <cellStyle name="Normal 4 2 2 5 4 3" xfId="5558" xr:uid="{00000000-0005-0000-0000-0000FD120000}"/>
    <cellStyle name="Normal 4 2 2 5 4 3 2" xfId="13987" xr:uid="{8A9AD2BA-FDC7-4FCE-BE7A-27E3A93FEF5A}"/>
    <cellStyle name="Normal 4 2 2 5 4 4" xfId="9769" xr:uid="{855F752A-3C8D-4781-912E-809E7DC9B39B}"/>
    <cellStyle name="Normal 4 2 2 5 5" xfId="1662" xr:uid="{00000000-0005-0000-0000-0000FE120000}"/>
    <cellStyle name="Normal 4 2 2 5 5 2" xfId="3892" xr:uid="{00000000-0005-0000-0000-0000FF120000}"/>
    <cellStyle name="Normal 4 2 2 5 5 2 2" xfId="8116" xr:uid="{00000000-0005-0000-0000-000000130000}"/>
    <cellStyle name="Normal 4 2 2 5 5 2 2 2" xfId="16545" xr:uid="{0F30315D-F43C-4D80-AFF1-5D0B67B2CB50}"/>
    <cellStyle name="Normal 4 2 2 5 5 2 3" xfId="12327" xr:uid="{6192A8DF-D247-4C45-9B00-5AEDBF681613}"/>
    <cellStyle name="Normal 4 2 2 5 5 3" xfId="5971" xr:uid="{00000000-0005-0000-0000-000001130000}"/>
    <cellStyle name="Normal 4 2 2 5 5 3 2" xfId="14400" xr:uid="{6517ED1A-33B2-4922-9076-022F5C02EBDA}"/>
    <cellStyle name="Normal 4 2 2 5 5 4" xfId="10182" xr:uid="{16FF2EBA-09F0-49D3-883E-D12A023BF8B3}"/>
    <cellStyle name="Normal 4 2 2 5 6" xfId="2076" xr:uid="{00000000-0005-0000-0000-000002130000}"/>
    <cellStyle name="Normal 4 2 2 5 6 2" xfId="4305" xr:uid="{00000000-0005-0000-0000-000003130000}"/>
    <cellStyle name="Normal 4 2 2 5 6 2 2" xfId="8529" xr:uid="{00000000-0005-0000-0000-000004130000}"/>
    <cellStyle name="Normal 4 2 2 5 6 2 2 2" xfId="16958" xr:uid="{CEFFCC95-998C-4833-A731-7A7A8DA701CD}"/>
    <cellStyle name="Normal 4 2 2 5 6 2 3" xfId="12740" xr:uid="{4F693F24-86EF-442D-97C6-386726D6FC72}"/>
    <cellStyle name="Normal 4 2 2 5 6 3" xfId="6384" xr:uid="{00000000-0005-0000-0000-000005130000}"/>
    <cellStyle name="Normal 4 2 2 5 6 3 2" xfId="14813" xr:uid="{00E23E4C-C6EA-4561-A4B6-D636BF4A1A21}"/>
    <cellStyle name="Normal 4 2 2 5 6 4" xfId="10595" xr:uid="{74A0A652-FC61-4CA9-9F00-ADC14AB097A9}"/>
    <cellStyle name="Normal 4 2 2 5 7" xfId="2512" xr:uid="{00000000-0005-0000-0000-000006130000}"/>
    <cellStyle name="Normal 4 2 2 5 7 2" xfId="6797" xr:uid="{00000000-0005-0000-0000-000007130000}"/>
    <cellStyle name="Normal 4 2 2 5 7 2 2" xfId="15226" xr:uid="{1099C11E-1638-4D56-B116-B894935A0136}"/>
    <cellStyle name="Normal 4 2 2 5 7 3" xfId="11008" xr:uid="{1CD1B850-7317-453D-AA20-66F399AF40D2}"/>
    <cellStyle name="Normal 4 2 2 5 8" xfId="4732" xr:uid="{00000000-0005-0000-0000-000008130000}"/>
    <cellStyle name="Normal 4 2 2 5 8 2" xfId="13161" xr:uid="{0BEA63C4-BE0C-4FF1-A9EA-EE0649A7960A}"/>
    <cellStyle name="Normal 4 2 2 5 9" xfId="8943" xr:uid="{26FD49E8-8123-4CFC-B25F-4933F8C7A078}"/>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2 2" xfId="15721" xr:uid="{03B3B46F-412A-4E98-A840-FA5812FF4593}"/>
    <cellStyle name="Normal 4 2 2 6 2 2 3" xfId="11503" xr:uid="{10978A6B-853D-4EF8-818D-1ED6CFCBD405}"/>
    <cellStyle name="Normal 4 2 2 6 2 3" xfId="5147" xr:uid="{00000000-0005-0000-0000-00000D130000}"/>
    <cellStyle name="Normal 4 2 2 6 2 3 2" xfId="13576" xr:uid="{24094C18-3041-4ACA-AB0B-85B71FE89EF2}"/>
    <cellStyle name="Normal 4 2 2 6 2 4" xfId="9358" xr:uid="{C69B7A14-B772-4530-AAD7-D2EB280525BE}"/>
    <cellStyle name="Normal 4 2 2 6 3" xfId="1251" xr:uid="{00000000-0005-0000-0000-00000E130000}"/>
    <cellStyle name="Normal 4 2 2 6 3 2" xfId="3481" xr:uid="{00000000-0005-0000-0000-00000F130000}"/>
    <cellStyle name="Normal 4 2 2 6 3 2 2" xfId="7705" xr:uid="{00000000-0005-0000-0000-000010130000}"/>
    <cellStyle name="Normal 4 2 2 6 3 2 2 2" xfId="16134" xr:uid="{D6FC15D2-35C8-4D5F-A711-4A2A7A5C2DD8}"/>
    <cellStyle name="Normal 4 2 2 6 3 2 3" xfId="11916" xr:uid="{12F2B563-C9AC-499A-8479-9B1A725B7966}"/>
    <cellStyle name="Normal 4 2 2 6 3 3" xfId="5560" xr:uid="{00000000-0005-0000-0000-000011130000}"/>
    <cellStyle name="Normal 4 2 2 6 3 3 2" xfId="13989" xr:uid="{2D7CE697-778C-4525-A275-A1B2AC756B43}"/>
    <cellStyle name="Normal 4 2 2 6 3 4" xfId="9771" xr:uid="{A187661F-4B97-4F94-86AF-2C5817CB73ED}"/>
    <cellStyle name="Normal 4 2 2 6 4" xfId="1664" xr:uid="{00000000-0005-0000-0000-000012130000}"/>
    <cellStyle name="Normal 4 2 2 6 4 2" xfId="3894" xr:uid="{00000000-0005-0000-0000-000013130000}"/>
    <cellStyle name="Normal 4 2 2 6 4 2 2" xfId="8118" xr:uid="{00000000-0005-0000-0000-000014130000}"/>
    <cellStyle name="Normal 4 2 2 6 4 2 2 2" xfId="16547" xr:uid="{FE493151-0A8D-4B82-93CE-C27EB0AD8930}"/>
    <cellStyle name="Normal 4 2 2 6 4 2 3" xfId="12329" xr:uid="{2A7C05C4-5328-408B-87B6-9D32D9A5B3F8}"/>
    <cellStyle name="Normal 4 2 2 6 4 3" xfId="5973" xr:uid="{00000000-0005-0000-0000-000015130000}"/>
    <cellStyle name="Normal 4 2 2 6 4 3 2" xfId="14402" xr:uid="{8E8F6672-396A-4251-BB3D-DA14E3631A40}"/>
    <cellStyle name="Normal 4 2 2 6 4 4" xfId="10184" xr:uid="{C1342BB6-E929-4A99-8B0B-987BA4F231A5}"/>
    <cellStyle name="Normal 4 2 2 6 5" xfId="2078" xr:uid="{00000000-0005-0000-0000-000016130000}"/>
    <cellStyle name="Normal 4 2 2 6 5 2" xfId="4307" xr:uid="{00000000-0005-0000-0000-000017130000}"/>
    <cellStyle name="Normal 4 2 2 6 5 2 2" xfId="8531" xr:uid="{00000000-0005-0000-0000-000018130000}"/>
    <cellStyle name="Normal 4 2 2 6 5 2 2 2" xfId="16960" xr:uid="{8FA63CF4-5EDD-42F8-89A5-A434895F385E}"/>
    <cellStyle name="Normal 4 2 2 6 5 2 3" xfId="12742" xr:uid="{D9025529-6BE5-4AD3-BF26-3D142B7A7232}"/>
    <cellStyle name="Normal 4 2 2 6 5 3" xfId="6386" xr:uid="{00000000-0005-0000-0000-000019130000}"/>
    <cellStyle name="Normal 4 2 2 6 5 3 2" xfId="14815" xr:uid="{77CB1C8C-5F32-4E09-952C-F8668285C25F}"/>
    <cellStyle name="Normal 4 2 2 6 5 4" xfId="10597" xr:uid="{2E45C627-FCA0-4E74-A8B4-6C43BA783922}"/>
    <cellStyle name="Normal 4 2 2 6 6" xfId="2514" xr:uid="{00000000-0005-0000-0000-00001A130000}"/>
    <cellStyle name="Normal 4 2 2 6 6 2" xfId="6799" xr:uid="{00000000-0005-0000-0000-00001B130000}"/>
    <cellStyle name="Normal 4 2 2 6 6 2 2" xfId="15228" xr:uid="{76AAA92F-8F56-45B8-9F72-A188B353144C}"/>
    <cellStyle name="Normal 4 2 2 6 6 3" xfId="11010" xr:uid="{8485CDCE-7F73-4870-B0BF-2C82B5502628}"/>
    <cellStyle name="Normal 4 2 2 6 7" xfId="4734" xr:uid="{00000000-0005-0000-0000-00001C130000}"/>
    <cellStyle name="Normal 4 2 2 6 7 2" xfId="13163" xr:uid="{9E767091-1806-4512-AB03-EDCF6930CABA}"/>
    <cellStyle name="Normal 4 2 2 6 8" xfId="8945" xr:uid="{CD56604C-3A2B-47E8-A1E6-21B238A5099D}"/>
    <cellStyle name="Normal 4 2 2 7" xfId="816" xr:uid="{00000000-0005-0000-0000-00001D130000}"/>
    <cellStyle name="Normal 4 2 2 7 2" xfId="3053" xr:uid="{00000000-0005-0000-0000-00001E130000}"/>
    <cellStyle name="Normal 4 2 2 7 2 2" xfId="7277" xr:uid="{00000000-0005-0000-0000-00001F130000}"/>
    <cellStyle name="Normal 4 2 2 7 2 2 2" xfId="15706" xr:uid="{AC72CD6C-5C22-44FD-95C3-C5206548A064}"/>
    <cellStyle name="Normal 4 2 2 7 2 3" xfId="11488" xr:uid="{1100FB18-7959-4FB3-9DF5-6727156C39E6}"/>
    <cellStyle name="Normal 4 2 2 7 3" xfId="5132" xr:uid="{00000000-0005-0000-0000-000020130000}"/>
    <cellStyle name="Normal 4 2 2 7 3 2" xfId="13561" xr:uid="{96AEA1E9-73BD-43AA-B50F-7A2AA3CAAC82}"/>
    <cellStyle name="Normal 4 2 2 7 4" xfId="9343" xr:uid="{B27E2BCA-EF8D-4681-9FEC-54690BB61DB2}"/>
    <cellStyle name="Normal 4 2 2 8" xfId="1236" xr:uid="{00000000-0005-0000-0000-000021130000}"/>
    <cellStyle name="Normal 4 2 2 8 2" xfId="3466" xr:uid="{00000000-0005-0000-0000-000022130000}"/>
    <cellStyle name="Normal 4 2 2 8 2 2" xfId="7690" xr:uid="{00000000-0005-0000-0000-000023130000}"/>
    <cellStyle name="Normal 4 2 2 8 2 2 2" xfId="16119" xr:uid="{2DB401D3-E966-4937-97F4-5E14D1A2BB74}"/>
    <cellStyle name="Normal 4 2 2 8 2 3" xfId="11901" xr:uid="{ED9B035E-BCCB-4A00-995E-84A83CA673C1}"/>
    <cellStyle name="Normal 4 2 2 8 3" xfId="5545" xr:uid="{00000000-0005-0000-0000-000024130000}"/>
    <cellStyle name="Normal 4 2 2 8 3 2" xfId="13974" xr:uid="{6E637646-E95D-470C-A97C-248F1D4FE761}"/>
    <cellStyle name="Normal 4 2 2 8 4" xfId="9756" xr:uid="{2B1AB222-9E82-43D3-8040-96CD72DC024B}"/>
    <cellStyle name="Normal 4 2 2 9" xfId="1649" xr:uid="{00000000-0005-0000-0000-000025130000}"/>
    <cellStyle name="Normal 4 2 2 9 2" xfId="3879" xr:uid="{00000000-0005-0000-0000-000026130000}"/>
    <cellStyle name="Normal 4 2 2 9 2 2" xfId="8103" xr:uid="{00000000-0005-0000-0000-000027130000}"/>
    <cellStyle name="Normal 4 2 2 9 2 2 2" xfId="16532" xr:uid="{2A9344FE-E475-4729-A103-B887FA78614A}"/>
    <cellStyle name="Normal 4 2 2 9 2 3" xfId="12314" xr:uid="{0E18B1B4-29E9-4D7C-B9E8-EBDD1539B872}"/>
    <cellStyle name="Normal 4 2 2 9 3" xfId="5958" xr:uid="{00000000-0005-0000-0000-000028130000}"/>
    <cellStyle name="Normal 4 2 2 9 3 2" xfId="14387" xr:uid="{261518F1-BA94-4581-8CF8-E21D0E6CD922}"/>
    <cellStyle name="Normal 4 2 2 9 4" xfId="10169" xr:uid="{F46AE989-2B91-49CB-83F9-5A976922D005}"/>
    <cellStyle name="Normal 4 2 3" xfId="354" xr:uid="{00000000-0005-0000-0000-000029130000}"/>
    <cellStyle name="Normal 4 2 4" xfId="355" xr:uid="{00000000-0005-0000-0000-00002A130000}"/>
    <cellStyle name="Normal 4 2 4 10" xfId="4735" xr:uid="{00000000-0005-0000-0000-00002B130000}"/>
    <cellStyle name="Normal 4 2 4 10 2" xfId="13164" xr:uid="{C9250053-BB62-472F-A6D1-9178CB7758B2}"/>
    <cellStyle name="Normal 4 2 4 11" xfId="8946" xr:uid="{379F7EF2-E49E-406F-82C6-33D3003186E0}"/>
    <cellStyle name="Normal 4 2 4 2" xfId="356" xr:uid="{00000000-0005-0000-0000-00002C130000}"/>
    <cellStyle name="Normal 4 2 4 2 10" xfId="8947" xr:uid="{954ECE31-ADF6-4FB4-BB77-65519B13E712}"/>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2 2" xfId="15725" xr:uid="{FBF082EE-1F61-474B-B0B0-C50AB79BFA7F}"/>
    <cellStyle name="Normal 4 2 4 2 2 2 2 2 3" xfId="11507" xr:uid="{B0B98E05-D46C-4EA6-AE68-6FDAF59E4F94}"/>
    <cellStyle name="Normal 4 2 4 2 2 2 2 3" xfId="5151" xr:uid="{00000000-0005-0000-0000-000032130000}"/>
    <cellStyle name="Normal 4 2 4 2 2 2 2 3 2" xfId="13580" xr:uid="{30DFEABE-8438-4CEA-962F-165DCD38BB79}"/>
    <cellStyle name="Normal 4 2 4 2 2 2 2 4" xfId="9362" xr:uid="{BF0FAF29-915E-490A-A24F-2D9FA0896D0C}"/>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2 2" xfId="16138" xr:uid="{F9B47B44-25D2-4169-81F7-4850B9AF5A3F}"/>
    <cellStyle name="Normal 4 2 4 2 2 2 3 2 3" xfId="11920" xr:uid="{8464D7D9-77A9-4AFE-BE69-5FF1E8AD42F2}"/>
    <cellStyle name="Normal 4 2 4 2 2 2 3 3" xfId="5564" xr:uid="{00000000-0005-0000-0000-000036130000}"/>
    <cellStyle name="Normal 4 2 4 2 2 2 3 3 2" xfId="13993" xr:uid="{B9229422-4543-4821-85D1-B705855E684A}"/>
    <cellStyle name="Normal 4 2 4 2 2 2 3 4" xfId="9775" xr:uid="{12B57FF3-AA00-483F-BEC7-E3846563E0BA}"/>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2 2" xfId="16551" xr:uid="{72FA46CE-2166-4E72-8BBA-C53907A5B513}"/>
    <cellStyle name="Normal 4 2 4 2 2 2 4 2 3" xfId="12333" xr:uid="{90D10691-891F-4A41-B016-74017F47415E}"/>
    <cellStyle name="Normal 4 2 4 2 2 2 4 3" xfId="5977" xr:uid="{00000000-0005-0000-0000-00003A130000}"/>
    <cellStyle name="Normal 4 2 4 2 2 2 4 3 2" xfId="14406" xr:uid="{7740FEA5-AB3D-42D1-8BEB-2CB0FE060AFA}"/>
    <cellStyle name="Normal 4 2 4 2 2 2 4 4" xfId="10188" xr:uid="{8FF71CDD-6F1C-4B85-B9A4-C859412D957D}"/>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2 2" xfId="16964" xr:uid="{A85C273B-32E4-41F3-AF97-64854F629623}"/>
    <cellStyle name="Normal 4 2 4 2 2 2 5 2 3" xfId="12746" xr:uid="{A61A2288-89E0-4246-BB91-FEED79EC6004}"/>
    <cellStyle name="Normal 4 2 4 2 2 2 5 3" xfId="6390" xr:uid="{00000000-0005-0000-0000-00003E130000}"/>
    <cellStyle name="Normal 4 2 4 2 2 2 5 3 2" xfId="14819" xr:uid="{AEFF2C5F-2C19-431F-AE71-39C28289CE6F}"/>
    <cellStyle name="Normal 4 2 4 2 2 2 5 4" xfId="10601" xr:uid="{FC3F9A55-9FAC-4C27-8251-171F6ECA6555}"/>
    <cellStyle name="Normal 4 2 4 2 2 2 6" xfId="2518" xr:uid="{00000000-0005-0000-0000-00003F130000}"/>
    <cellStyle name="Normal 4 2 4 2 2 2 6 2" xfId="6803" xr:uid="{00000000-0005-0000-0000-000040130000}"/>
    <cellStyle name="Normal 4 2 4 2 2 2 6 2 2" xfId="15232" xr:uid="{052AD644-4B07-4588-ACF4-976C24624B40}"/>
    <cellStyle name="Normal 4 2 4 2 2 2 6 3" xfId="11014" xr:uid="{A382A559-2EE7-4BCE-9F5E-1C56A2E88A3E}"/>
    <cellStyle name="Normal 4 2 4 2 2 2 7" xfId="4738" xr:uid="{00000000-0005-0000-0000-000041130000}"/>
    <cellStyle name="Normal 4 2 4 2 2 2 7 2" xfId="13167" xr:uid="{6C839D01-B5D7-4D4C-9B84-1E4391F7F732}"/>
    <cellStyle name="Normal 4 2 4 2 2 2 8" xfId="8949" xr:uid="{2BF4D139-F5E9-45B9-AF8D-0FF63B4C5191}"/>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2 2" xfId="15724" xr:uid="{A35CA377-E818-4450-ACC4-8219AD4EF351}"/>
    <cellStyle name="Normal 4 2 4 2 2 3 2 3" xfId="11506" xr:uid="{9D4D892B-A3EA-429C-9375-11D4D6A6671F}"/>
    <cellStyle name="Normal 4 2 4 2 2 3 3" xfId="5150" xr:uid="{00000000-0005-0000-0000-000045130000}"/>
    <cellStyle name="Normal 4 2 4 2 2 3 3 2" xfId="13579" xr:uid="{67F43374-35AB-4711-8486-15284845BB6A}"/>
    <cellStyle name="Normal 4 2 4 2 2 3 4" xfId="9361" xr:uid="{8D06E44D-E62F-407D-9007-02E05ACC3B0E}"/>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2 2" xfId="16137" xr:uid="{3B9EF823-43E0-400E-9922-696792DE42BE}"/>
    <cellStyle name="Normal 4 2 4 2 2 4 2 3" xfId="11919" xr:uid="{652D8C47-D6A1-4F02-ADD0-3A22E62FDE7F}"/>
    <cellStyle name="Normal 4 2 4 2 2 4 3" xfId="5563" xr:uid="{00000000-0005-0000-0000-000049130000}"/>
    <cellStyle name="Normal 4 2 4 2 2 4 3 2" xfId="13992" xr:uid="{34BB48E5-EF53-4432-9F90-57D0BD11C979}"/>
    <cellStyle name="Normal 4 2 4 2 2 4 4" xfId="9774" xr:uid="{5C7EAAD8-D3C9-4D4C-A427-DE4A903C0B5B}"/>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2 2" xfId="16550" xr:uid="{18C5C5AC-0DA8-4D18-97DF-DC91CCC3B554}"/>
    <cellStyle name="Normal 4 2 4 2 2 5 2 3" xfId="12332" xr:uid="{31CAF29D-E1E4-4FAB-9206-FFAEEE270C45}"/>
    <cellStyle name="Normal 4 2 4 2 2 5 3" xfId="5976" xr:uid="{00000000-0005-0000-0000-00004D130000}"/>
    <cellStyle name="Normal 4 2 4 2 2 5 3 2" xfId="14405" xr:uid="{0886A0F9-ED62-4160-8713-B97CCD67824E}"/>
    <cellStyle name="Normal 4 2 4 2 2 5 4" xfId="10187" xr:uid="{3F4C3D52-4D40-45DE-9080-2144F096C083}"/>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2 2" xfId="16963" xr:uid="{1660CD38-330C-42A7-9E72-AEB49CC6371F}"/>
    <cellStyle name="Normal 4 2 4 2 2 6 2 3" xfId="12745" xr:uid="{562BA228-9660-44CD-A53B-4C8AD3ABC589}"/>
    <cellStyle name="Normal 4 2 4 2 2 6 3" xfId="6389" xr:uid="{00000000-0005-0000-0000-000051130000}"/>
    <cellStyle name="Normal 4 2 4 2 2 6 3 2" xfId="14818" xr:uid="{63BE2C2C-1744-4946-9F7B-86E106E39B94}"/>
    <cellStyle name="Normal 4 2 4 2 2 6 4" xfId="10600" xr:uid="{EE924EC6-6986-49A9-8F2B-5499731B36D7}"/>
    <cellStyle name="Normal 4 2 4 2 2 7" xfId="2517" xr:uid="{00000000-0005-0000-0000-000052130000}"/>
    <cellStyle name="Normal 4 2 4 2 2 7 2" xfId="6802" xr:uid="{00000000-0005-0000-0000-000053130000}"/>
    <cellStyle name="Normal 4 2 4 2 2 7 2 2" xfId="15231" xr:uid="{6E7A7922-4B16-4842-BB5D-ADAC7CFF817F}"/>
    <cellStyle name="Normal 4 2 4 2 2 7 3" xfId="11013" xr:uid="{405AF275-FE71-401D-A474-5CCC0B75ED64}"/>
    <cellStyle name="Normal 4 2 4 2 2 8" xfId="4737" xr:uid="{00000000-0005-0000-0000-000054130000}"/>
    <cellStyle name="Normal 4 2 4 2 2 8 2" xfId="13166" xr:uid="{DE521B0C-E417-4E20-A1E0-D03D85DDABA3}"/>
    <cellStyle name="Normal 4 2 4 2 2 9" xfId="8948" xr:uid="{A13289A0-CD5C-47F4-AB13-3E59F09A04C9}"/>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2 2" xfId="15726" xr:uid="{EFF42DE5-0993-4B8A-A648-BBDB1BD99331}"/>
    <cellStyle name="Normal 4 2 4 2 3 2 2 3" xfId="11508" xr:uid="{6EFDF8A3-9729-44E8-BF6A-5A2135E0857C}"/>
    <cellStyle name="Normal 4 2 4 2 3 2 3" xfId="5152" xr:uid="{00000000-0005-0000-0000-000059130000}"/>
    <cellStyle name="Normal 4 2 4 2 3 2 3 2" xfId="13581" xr:uid="{A311DF62-ABB0-4A8B-996F-0D6A02F8D27D}"/>
    <cellStyle name="Normal 4 2 4 2 3 2 4" xfId="9363" xr:uid="{97BC0683-A964-4490-A0F6-538F39108C54}"/>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2 2" xfId="16139" xr:uid="{ADA911A0-0798-44AA-AEA8-7B6E9F3C7EF1}"/>
    <cellStyle name="Normal 4 2 4 2 3 3 2 3" xfId="11921" xr:uid="{D07F136B-A36E-4D77-A075-E8D1EEC77733}"/>
    <cellStyle name="Normal 4 2 4 2 3 3 3" xfId="5565" xr:uid="{00000000-0005-0000-0000-00005D130000}"/>
    <cellStyle name="Normal 4 2 4 2 3 3 3 2" xfId="13994" xr:uid="{61D7E6B1-CD72-4EF5-A8D4-AA45963FE666}"/>
    <cellStyle name="Normal 4 2 4 2 3 3 4" xfId="9776" xr:uid="{82D7DC55-C9D3-43CD-B9F8-A5ECF5954927}"/>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2 2" xfId="16552" xr:uid="{37CE1F50-0527-4F09-9091-61E35D1C5A16}"/>
    <cellStyle name="Normal 4 2 4 2 3 4 2 3" xfId="12334" xr:uid="{3D25517C-318B-40C3-AB5F-BA8A6EDA2D66}"/>
    <cellStyle name="Normal 4 2 4 2 3 4 3" xfId="5978" xr:uid="{00000000-0005-0000-0000-000061130000}"/>
    <cellStyle name="Normal 4 2 4 2 3 4 3 2" xfId="14407" xr:uid="{1967814B-4293-4B02-B78C-A88A8523FAF8}"/>
    <cellStyle name="Normal 4 2 4 2 3 4 4" xfId="10189" xr:uid="{4F4C5019-02E1-4DB5-901B-1F84D26C8C8C}"/>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2 2" xfId="16965" xr:uid="{87F8BA3F-8344-4D20-B7D0-075931E49E4C}"/>
    <cellStyle name="Normal 4 2 4 2 3 5 2 3" xfId="12747" xr:uid="{56988D9B-2456-4C5C-999F-8EEB445F1C18}"/>
    <cellStyle name="Normal 4 2 4 2 3 5 3" xfId="6391" xr:uid="{00000000-0005-0000-0000-000065130000}"/>
    <cellStyle name="Normal 4 2 4 2 3 5 3 2" xfId="14820" xr:uid="{3AA5E21B-0A52-4AB0-915D-A3DAB29CB109}"/>
    <cellStyle name="Normal 4 2 4 2 3 5 4" xfId="10602" xr:uid="{6CD71A27-2AC8-4DCF-9D26-DE19C6EE64AC}"/>
    <cellStyle name="Normal 4 2 4 2 3 6" xfId="2519" xr:uid="{00000000-0005-0000-0000-000066130000}"/>
    <cellStyle name="Normal 4 2 4 2 3 6 2" xfId="6804" xr:uid="{00000000-0005-0000-0000-000067130000}"/>
    <cellStyle name="Normal 4 2 4 2 3 6 2 2" xfId="15233" xr:uid="{A0033783-CB3C-4FAF-948C-FD1ECC5F8AC0}"/>
    <cellStyle name="Normal 4 2 4 2 3 6 3" xfId="11015" xr:uid="{66E0C9F4-9873-46CF-B5AB-5D2B16D03379}"/>
    <cellStyle name="Normal 4 2 4 2 3 7" xfId="4739" xr:uid="{00000000-0005-0000-0000-000068130000}"/>
    <cellStyle name="Normal 4 2 4 2 3 7 2" xfId="13168" xr:uid="{36AC3D06-ECA8-4FAF-BE3F-4A95AF13F273}"/>
    <cellStyle name="Normal 4 2 4 2 3 8" xfId="8950" xr:uid="{9884CA51-AD4D-4638-B682-9381CBA8A7CA}"/>
    <cellStyle name="Normal 4 2 4 2 4" xfId="833" xr:uid="{00000000-0005-0000-0000-000069130000}"/>
    <cellStyle name="Normal 4 2 4 2 4 2" xfId="3070" xr:uid="{00000000-0005-0000-0000-00006A130000}"/>
    <cellStyle name="Normal 4 2 4 2 4 2 2" xfId="7294" xr:uid="{00000000-0005-0000-0000-00006B130000}"/>
    <cellStyle name="Normal 4 2 4 2 4 2 2 2" xfId="15723" xr:uid="{DC363692-9B6F-4FC1-ABC1-0DA38FA65AC3}"/>
    <cellStyle name="Normal 4 2 4 2 4 2 3" xfId="11505" xr:uid="{8A90484F-0272-4D8F-8672-3A28BF76060D}"/>
    <cellStyle name="Normal 4 2 4 2 4 3" xfId="5149" xr:uid="{00000000-0005-0000-0000-00006C130000}"/>
    <cellStyle name="Normal 4 2 4 2 4 3 2" xfId="13578" xr:uid="{36BD4502-A74B-4F52-9E20-8F052068D51D}"/>
    <cellStyle name="Normal 4 2 4 2 4 4" xfId="9360" xr:uid="{C56D6181-DC00-4592-8EE1-13A1BEFEB60B}"/>
    <cellStyle name="Normal 4 2 4 2 5" xfId="1253" xr:uid="{00000000-0005-0000-0000-00006D130000}"/>
    <cellStyle name="Normal 4 2 4 2 5 2" xfId="3483" xr:uid="{00000000-0005-0000-0000-00006E130000}"/>
    <cellStyle name="Normal 4 2 4 2 5 2 2" xfId="7707" xr:uid="{00000000-0005-0000-0000-00006F130000}"/>
    <cellStyle name="Normal 4 2 4 2 5 2 2 2" xfId="16136" xr:uid="{8684BD72-35CD-4D46-87EF-E37778EF7E02}"/>
    <cellStyle name="Normal 4 2 4 2 5 2 3" xfId="11918" xr:uid="{ACE83489-919E-440F-AA15-AB7830B1EB6E}"/>
    <cellStyle name="Normal 4 2 4 2 5 3" xfId="5562" xr:uid="{00000000-0005-0000-0000-000070130000}"/>
    <cellStyle name="Normal 4 2 4 2 5 3 2" xfId="13991" xr:uid="{D40530C6-EBAF-4982-9964-E2A534DDB805}"/>
    <cellStyle name="Normal 4 2 4 2 5 4" xfId="9773" xr:uid="{F4EDB09F-D5B6-4787-9E99-07C535ECCB41}"/>
    <cellStyle name="Normal 4 2 4 2 6" xfId="1666" xr:uid="{00000000-0005-0000-0000-000071130000}"/>
    <cellStyle name="Normal 4 2 4 2 6 2" xfId="3896" xr:uid="{00000000-0005-0000-0000-000072130000}"/>
    <cellStyle name="Normal 4 2 4 2 6 2 2" xfId="8120" xr:uid="{00000000-0005-0000-0000-000073130000}"/>
    <cellStyle name="Normal 4 2 4 2 6 2 2 2" xfId="16549" xr:uid="{3008D859-E840-4629-9AD9-073911688BC4}"/>
    <cellStyle name="Normal 4 2 4 2 6 2 3" xfId="12331" xr:uid="{55C4EB0C-1C53-4772-A723-C38C29571C70}"/>
    <cellStyle name="Normal 4 2 4 2 6 3" xfId="5975" xr:uid="{00000000-0005-0000-0000-000074130000}"/>
    <cellStyle name="Normal 4 2 4 2 6 3 2" xfId="14404" xr:uid="{A483421C-85BD-46D3-B3AE-6667FF133B2E}"/>
    <cellStyle name="Normal 4 2 4 2 6 4" xfId="10186" xr:uid="{6FBC1B75-CAF0-46A1-BF44-0B6551755C69}"/>
    <cellStyle name="Normal 4 2 4 2 7" xfId="2080" xr:uid="{00000000-0005-0000-0000-000075130000}"/>
    <cellStyle name="Normal 4 2 4 2 7 2" xfId="4309" xr:uid="{00000000-0005-0000-0000-000076130000}"/>
    <cellStyle name="Normal 4 2 4 2 7 2 2" xfId="8533" xr:uid="{00000000-0005-0000-0000-000077130000}"/>
    <cellStyle name="Normal 4 2 4 2 7 2 2 2" xfId="16962" xr:uid="{1FE196AF-89DA-42A9-8C7F-828A7B9F93D7}"/>
    <cellStyle name="Normal 4 2 4 2 7 2 3" xfId="12744" xr:uid="{24DEC1D7-7735-43B5-AF6B-DBB28B17D887}"/>
    <cellStyle name="Normal 4 2 4 2 7 3" xfId="6388" xr:uid="{00000000-0005-0000-0000-000078130000}"/>
    <cellStyle name="Normal 4 2 4 2 7 3 2" xfId="14817" xr:uid="{4A972A3F-801F-4BB0-AF51-839789212B84}"/>
    <cellStyle name="Normal 4 2 4 2 7 4" xfId="10599" xr:uid="{51390D36-2099-40B5-9707-EC7356E906DD}"/>
    <cellStyle name="Normal 4 2 4 2 8" xfId="2516" xr:uid="{00000000-0005-0000-0000-000079130000}"/>
    <cellStyle name="Normal 4 2 4 2 8 2" xfId="6801" xr:uid="{00000000-0005-0000-0000-00007A130000}"/>
    <cellStyle name="Normal 4 2 4 2 8 2 2" xfId="15230" xr:uid="{08642B24-736D-48EF-B48D-60226B3EADFC}"/>
    <cellStyle name="Normal 4 2 4 2 8 3" xfId="11012" xr:uid="{F9579CCE-6B6D-49A7-A018-FB6A0B0A3489}"/>
    <cellStyle name="Normal 4 2 4 2 9" xfId="4736" xr:uid="{00000000-0005-0000-0000-00007B130000}"/>
    <cellStyle name="Normal 4 2 4 2 9 2" xfId="13165" xr:uid="{6432B298-B3AC-4968-8525-426C0F5C9D9C}"/>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2 2" xfId="15728" xr:uid="{47981E5F-9023-415E-8AB4-86464F9C0F2E}"/>
    <cellStyle name="Normal 4 2 4 3 2 2 2 3" xfId="11510" xr:uid="{C17B80C5-0B86-4281-B35B-7EA83AF25877}"/>
    <cellStyle name="Normal 4 2 4 3 2 2 3" xfId="5154" xr:uid="{00000000-0005-0000-0000-000081130000}"/>
    <cellStyle name="Normal 4 2 4 3 2 2 3 2" xfId="13583" xr:uid="{E228D21D-4BF6-42DC-911E-3A5DDB4D1A5B}"/>
    <cellStyle name="Normal 4 2 4 3 2 2 4" xfId="9365" xr:uid="{BBDE84A5-BD5F-4A20-82B9-274D914DF36D}"/>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2 2" xfId="16141" xr:uid="{0677B7AF-7B77-4922-A2D3-E293D699DB72}"/>
    <cellStyle name="Normal 4 2 4 3 2 3 2 3" xfId="11923" xr:uid="{851F8FDC-7CB4-4CC2-B298-2E358E06326D}"/>
    <cellStyle name="Normal 4 2 4 3 2 3 3" xfId="5567" xr:uid="{00000000-0005-0000-0000-000085130000}"/>
    <cellStyle name="Normal 4 2 4 3 2 3 3 2" xfId="13996" xr:uid="{6CA9382B-8464-464B-81F9-1C454592E060}"/>
    <cellStyle name="Normal 4 2 4 3 2 3 4" xfId="9778" xr:uid="{739C2110-5C5A-4233-A5AB-9407150FC5AB}"/>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2 2" xfId="16554" xr:uid="{3B48488D-C6E5-42AA-A3BE-5C310DFBD9C3}"/>
    <cellStyle name="Normal 4 2 4 3 2 4 2 3" xfId="12336" xr:uid="{28B4D433-A78F-4C5C-BD4B-5AE6934B72E4}"/>
    <cellStyle name="Normal 4 2 4 3 2 4 3" xfId="5980" xr:uid="{00000000-0005-0000-0000-000089130000}"/>
    <cellStyle name="Normal 4 2 4 3 2 4 3 2" xfId="14409" xr:uid="{4D017B52-2A6B-4CEC-934B-E8F6D8471823}"/>
    <cellStyle name="Normal 4 2 4 3 2 4 4" xfId="10191" xr:uid="{A33E8873-B73E-4832-AC16-F80A108621AB}"/>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2 2" xfId="16967" xr:uid="{30AE3857-BF70-404A-9CD4-E507E5AAB9C7}"/>
    <cellStyle name="Normal 4 2 4 3 2 5 2 3" xfId="12749" xr:uid="{8BC43362-252A-4576-B5E8-EC159A197B18}"/>
    <cellStyle name="Normal 4 2 4 3 2 5 3" xfId="6393" xr:uid="{00000000-0005-0000-0000-00008D130000}"/>
    <cellStyle name="Normal 4 2 4 3 2 5 3 2" xfId="14822" xr:uid="{AE71A52A-5F42-4061-98E5-AD0C814821D5}"/>
    <cellStyle name="Normal 4 2 4 3 2 5 4" xfId="10604" xr:uid="{93C0C880-0274-40AA-A842-50DDF17F2022}"/>
    <cellStyle name="Normal 4 2 4 3 2 6" xfId="2521" xr:uid="{00000000-0005-0000-0000-00008E130000}"/>
    <cellStyle name="Normal 4 2 4 3 2 6 2" xfId="6806" xr:uid="{00000000-0005-0000-0000-00008F130000}"/>
    <cellStyle name="Normal 4 2 4 3 2 6 2 2" xfId="15235" xr:uid="{0A4DDFA6-898D-4626-99EC-08F63FCB1FCD}"/>
    <cellStyle name="Normal 4 2 4 3 2 6 3" xfId="11017" xr:uid="{3A081FE7-E9F3-4847-99A5-0C84DCA14549}"/>
    <cellStyle name="Normal 4 2 4 3 2 7" xfId="4741" xr:uid="{00000000-0005-0000-0000-000090130000}"/>
    <cellStyle name="Normal 4 2 4 3 2 7 2" xfId="13170" xr:uid="{21D21EA9-721C-44CE-A100-3B2F698FC331}"/>
    <cellStyle name="Normal 4 2 4 3 2 8" xfId="8952" xr:uid="{456B3C23-3347-4FB3-B5F5-F7D3452C0D4C}"/>
    <cellStyle name="Normal 4 2 4 3 3" xfId="837" xr:uid="{00000000-0005-0000-0000-000091130000}"/>
    <cellStyle name="Normal 4 2 4 3 3 2" xfId="3074" xr:uid="{00000000-0005-0000-0000-000092130000}"/>
    <cellStyle name="Normal 4 2 4 3 3 2 2" xfId="7298" xr:uid="{00000000-0005-0000-0000-000093130000}"/>
    <cellStyle name="Normal 4 2 4 3 3 2 2 2" xfId="15727" xr:uid="{EC545B5B-A43F-43EC-B579-2ADE789DE978}"/>
    <cellStyle name="Normal 4 2 4 3 3 2 3" xfId="11509" xr:uid="{D04C3DA2-913E-4365-B05E-FB961CDEA2FB}"/>
    <cellStyle name="Normal 4 2 4 3 3 3" xfId="5153" xr:uid="{00000000-0005-0000-0000-000094130000}"/>
    <cellStyle name="Normal 4 2 4 3 3 3 2" xfId="13582" xr:uid="{601292D2-FD10-4E28-8B67-E335CCDC35FE}"/>
    <cellStyle name="Normal 4 2 4 3 3 4" xfId="9364" xr:uid="{67F94771-110B-4598-9072-748B120A434D}"/>
    <cellStyle name="Normal 4 2 4 3 4" xfId="1257" xr:uid="{00000000-0005-0000-0000-000095130000}"/>
    <cellStyle name="Normal 4 2 4 3 4 2" xfId="3487" xr:uid="{00000000-0005-0000-0000-000096130000}"/>
    <cellStyle name="Normal 4 2 4 3 4 2 2" xfId="7711" xr:uid="{00000000-0005-0000-0000-000097130000}"/>
    <cellStyle name="Normal 4 2 4 3 4 2 2 2" xfId="16140" xr:uid="{AFB637E5-025E-4A65-9131-83CB52E51AA4}"/>
    <cellStyle name="Normal 4 2 4 3 4 2 3" xfId="11922" xr:uid="{F591FA7F-CD3A-469A-AD13-DD1C0FE9B379}"/>
    <cellStyle name="Normal 4 2 4 3 4 3" xfId="5566" xr:uid="{00000000-0005-0000-0000-000098130000}"/>
    <cellStyle name="Normal 4 2 4 3 4 3 2" xfId="13995" xr:uid="{99F863B5-21E5-4895-9D2B-2398BD1FCC83}"/>
    <cellStyle name="Normal 4 2 4 3 4 4" xfId="9777" xr:uid="{AA010028-158C-4DDD-884B-43956C9F2293}"/>
    <cellStyle name="Normal 4 2 4 3 5" xfId="1670" xr:uid="{00000000-0005-0000-0000-000099130000}"/>
    <cellStyle name="Normal 4 2 4 3 5 2" xfId="3900" xr:uid="{00000000-0005-0000-0000-00009A130000}"/>
    <cellStyle name="Normal 4 2 4 3 5 2 2" xfId="8124" xr:uid="{00000000-0005-0000-0000-00009B130000}"/>
    <cellStyle name="Normal 4 2 4 3 5 2 2 2" xfId="16553" xr:uid="{67B66541-E9FA-486A-86C1-F8BC4F0DCC99}"/>
    <cellStyle name="Normal 4 2 4 3 5 2 3" xfId="12335" xr:uid="{06F9C74F-32AE-4323-9E0B-BD835E5CF8A5}"/>
    <cellStyle name="Normal 4 2 4 3 5 3" xfId="5979" xr:uid="{00000000-0005-0000-0000-00009C130000}"/>
    <cellStyle name="Normal 4 2 4 3 5 3 2" xfId="14408" xr:uid="{B11885DA-A483-46EE-B4F0-4275D9866E16}"/>
    <cellStyle name="Normal 4 2 4 3 5 4" xfId="10190" xr:uid="{D8766813-0A82-455A-BCA1-EE76A371704A}"/>
    <cellStyle name="Normal 4 2 4 3 6" xfId="2084" xr:uid="{00000000-0005-0000-0000-00009D130000}"/>
    <cellStyle name="Normal 4 2 4 3 6 2" xfId="4313" xr:uid="{00000000-0005-0000-0000-00009E130000}"/>
    <cellStyle name="Normal 4 2 4 3 6 2 2" xfId="8537" xr:uid="{00000000-0005-0000-0000-00009F130000}"/>
    <cellStyle name="Normal 4 2 4 3 6 2 2 2" xfId="16966" xr:uid="{3E76A1DA-7F8A-4312-8CCD-80D3E63082C5}"/>
    <cellStyle name="Normal 4 2 4 3 6 2 3" xfId="12748" xr:uid="{B07429D7-E22A-4B27-A253-881367D4ACF7}"/>
    <cellStyle name="Normal 4 2 4 3 6 3" xfId="6392" xr:uid="{00000000-0005-0000-0000-0000A0130000}"/>
    <cellStyle name="Normal 4 2 4 3 6 3 2" xfId="14821" xr:uid="{933D91E4-9DD5-4195-B5CA-3D4690033A16}"/>
    <cellStyle name="Normal 4 2 4 3 6 4" xfId="10603" xr:uid="{F5C2CAAA-FA5E-42B5-9C4E-943654B53DFF}"/>
    <cellStyle name="Normal 4 2 4 3 7" xfId="2520" xr:uid="{00000000-0005-0000-0000-0000A1130000}"/>
    <cellStyle name="Normal 4 2 4 3 7 2" xfId="6805" xr:uid="{00000000-0005-0000-0000-0000A2130000}"/>
    <cellStyle name="Normal 4 2 4 3 7 2 2" xfId="15234" xr:uid="{12591E15-BC5E-4C28-B412-E0FADC17F175}"/>
    <cellStyle name="Normal 4 2 4 3 7 3" xfId="11016" xr:uid="{75CE9AB2-7A41-4414-8A47-3CC61E8C7507}"/>
    <cellStyle name="Normal 4 2 4 3 8" xfId="4740" xr:uid="{00000000-0005-0000-0000-0000A3130000}"/>
    <cellStyle name="Normal 4 2 4 3 8 2" xfId="13169" xr:uid="{2A4B52F8-C0E8-4401-9AD3-906AC6F969C3}"/>
    <cellStyle name="Normal 4 2 4 3 9" xfId="8951" xr:uid="{02CD9DFD-E7E8-49D1-AAC2-6E15A06A1718}"/>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2 2" xfId="15729" xr:uid="{E3934087-B024-4711-BC69-0690F00CB197}"/>
    <cellStyle name="Normal 4 2 4 4 2 2 3" xfId="11511" xr:uid="{FB05282C-8761-4C30-892C-9F9A20EB4FF3}"/>
    <cellStyle name="Normal 4 2 4 4 2 3" xfId="5155" xr:uid="{00000000-0005-0000-0000-0000A8130000}"/>
    <cellStyle name="Normal 4 2 4 4 2 3 2" xfId="13584" xr:uid="{A7B43E4C-9DC1-491B-A676-88B7EF47582F}"/>
    <cellStyle name="Normal 4 2 4 4 2 4" xfId="9366" xr:uid="{E4D54CBD-DE25-4064-867A-C5E511837CE8}"/>
    <cellStyle name="Normal 4 2 4 4 3" xfId="1259" xr:uid="{00000000-0005-0000-0000-0000A9130000}"/>
    <cellStyle name="Normal 4 2 4 4 3 2" xfId="3489" xr:uid="{00000000-0005-0000-0000-0000AA130000}"/>
    <cellStyle name="Normal 4 2 4 4 3 2 2" xfId="7713" xr:uid="{00000000-0005-0000-0000-0000AB130000}"/>
    <cellStyle name="Normal 4 2 4 4 3 2 2 2" xfId="16142" xr:uid="{7109CBA1-7132-4FEE-913F-502659D54343}"/>
    <cellStyle name="Normal 4 2 4 4 3 2 3" xfId="11924" xr:uid="{164600DB-8878-4C26-B81F-BB12FDEC03BC}"/>
    <cellStyle name="Normal 4 2 4 4 3 3" xfId="5568" xr:uid="{00000000-0005-0000-0000-0000AC130000}"/>
    <cellStyle name="Normal 4 2 4 4 3 3 2" xfId="13997" xr:uid="{171C7045-F313-41CB-B281-5C967258716B}"/>
    <cellStyle name="Normal 4 2 4 4 3 4" xfId="9779" xr:uid="{12D0E984-62D7-44AF-B898-87F4365E1FB4}"/>
    <cellStyle name="Normal 4 2 4 4 4" xfId="1672" xr:uid="{00000000-0005-0000-0000-0000AD130000}"/>
    <cellStyle name="Normal 4 2 4 4 4 2" xfId="3902" xr:uid="{00000000-0005-0000-0000-0000AE130000}"/>
    <cellStyle name="Normal 4 2 4 4 4 2 2" xfId="8126" xr:uid="{00000000-0005-0000-0000-0000AF130000}"/>
    <cellStyle name="Normal 4 2 4 4 4 2 2 2" xfId="16555" xr:uid="{BDFF8ACF-A6B8-4C57-8CD4-FB02B6EBF7B1}"/>
    <cellStyle name="Normal 4 2 4 4 4 2 3" xfId="12337" xr:uid="{8BD56586-8B4C-4624-BADA-A7350A45F378}"/>
    <cellStyle name="Normal 4 2 4 4 4 3" xfId="5981" xr:uid="{00000000-0005-0000-0000-0000B0130000}"/>
    <cellStyle name="Normal 4 2 4 4 4 3 2" xfId="14410" xr:uid="{123CFD70-8400-4F9F-AF9B-4DFB90C8E9E0}"/>
    <cellStyle name="Normal 4 2 4 4 4 4" xfId="10192" xr:uid="{3DB0895D-9295-4429-9205-D33505E01652}"/>
    <cellStyle name="Normal 4 2 4 4 5" xfId="2086" xr:uid="{00000000-0005-0000-0000-0000B1130000}"/>
    <cellStyle name="Normal 4 2 4 4 5 2" xfId="4315" xr:uid="{00000000-0005-0000-0000-0000B2130000}"/>
    <cellStyle name="Normal 4 2 4 4 5 2 2" xfId="8539" xr:uid="{00000000-0005-0000-0000-0000B3130000}"/>
    <cellStyle name="Normal 4 2 4 4 5 2 2 2" xfId="16968" xr:uid="{5A93CCB0-23D4-4A96-8CD5-C8E8A6B982E5}"/>
    <cellStyle name="Normal 4 2 4 4 5 2 3" xfId="12750" xr:uid="{1A01F038-C011-4784-9F60-90859A39ABFD}"/>
    <cellStyle name="Normal 4 2 4 4 5 3" xfId="6394" xr:uid="{00000000-0005-0000-0000-0000B4130000}"/>
    <cellStyle name="Normal 4 2 4 4 5 3 2" xfId="14823" xr:uid="{10EA9604-A81E-4F79-B231-B7733CA24D26}"/>
    <cellStyle name="Normal 4 2 4 4 5 4" xfId="10605" xr:uid="{E4431000-08F9-4B68-8F28-93334CB266E1}"/>
    <cellStyle name="Normal 4 2 4 4 6" xfId="2522" xr:uid="{00000000-0005-0000-0000-0000B5130000}"/>
    <cellStyle name="Normal 4 2 4 4 6 2" xfId="6807" xr:uid="{00000000-0005-0000-0000-0000B6130000}"/>
    <cellStyle name="Normal 4 2 4 4 6 2 2" xfId="15236" xr:uid="{01F47695-59A1-4FE6-BBB0-E342BFFDC074}"/>
    <cellStyle name="Normal 4 2 4 4 6 3" xfId="11018" xr:uid="{17746AAF-B5AE-486B-9008-CFBD801F50DE}"/>
    <cellStyle name="Normal 4 2 4 4 7" xfId="4742" xr:uid="{00000000-0005-0000-0000-0000B7130000}"/>
    <cellStyle name="Normal 4 2 4 4 7 2" xfId="13171" xr:uid="{C06E5ED1-7281-4010-8A5E-79650B84779C}"/>
    <cellStyle name="Normal 4 2 4 4 8" xfId="8953" xr:uid="{184ADEF4-D3B6-4EC6-91D3-23CCAF70ADF5}"/>
    <cellStyle name="Normal 4 2 4 5" xfId="832" xr:uid="{00000000-0005-0000-0000-0000B8130000}"/>
    <cellStyle name="Normal 4 2 4 5 2" xfId="3069" xr:uid="{00000000-0005-0000-0000-0000B9130000}"/>
    <cellStyle name="Normal 4 2 4 5 2 2" xfId="7293" xr:uid="{00000000-0005-0000-0000-0000BA130000}"/>
    <cellStyle name="Normal 4 2 4 5 2 2 2" xfId="15722" xr:uid="{3382BD25-3CDB-4D11-877D-283A320A640D}"/>
    <cellStyle name="Normal 4 2 4 5 2 3" xfId="11504" xr:uid="{6C0D90D9-A6F3-4287-88F6-174D12DC857C}"/>
    <cellStyle name="Normal 4 2 4 5 3" xfId="5148" xr:uid="{00000000-0005-0000-0000-0000BB130000}"/>
    <cellStyle name="Normal 4 2 4 5 3 2" xfId="13577" xr:uid="{9C33CDC7-928A-4A35-92BE-03BE642350C5}"/>
    <cellStyle name="Normal 4 2 4 5 4" xfId="9359" xr:uid="{916DDCDA-3415-4C31-B06D-7C4AAB54C4F6}"/>
    <cellStyle name="Normal 4 2 4 6" xfId="1252" xr:uid="{00000000-0005-0000-0000-0000BC130000}"/>
    <cellStyle name="Normal 4 2 4 6 2" xfId="3482" xr:uid="{00000000-0005-0000-0000-0000BD130000}"/>
    <cellStyle name="Normal 4 2 4 6 2 2" xfId="7706" xr:uid="{00000000-0005-0000-0000-0000BE130000}"/>
    <cellStyle name="Normal 4 2 4 6 2 2 2" xfId="16135" xr:uid="{885B723A-D4E6-4F47-BF30-B855944AF502}"/>
    <cellStyle name="Normal 4 2 4 6 2 3" xfId="11917" xr:uid="{357CAADF-5EE1-4681-98B9-BF65D4A78067}"/>
    <cellStyle name="Normal 4 2 4 6 3" xfId="5561" xr:uid="{00000000-0005-0000-0000-0000BF130000}"/>
    <cellStyle name="Normal 4 2 4 6 3 2" xfId="13990" xr:uid="{0A7AC788-582F-4EA3-88A1-B2A76E932541}"/>
    <cellStyle name="Normal 4 2 4 6 4" xfId="9772" xr:uid="{3EEF746F-143D-463A-AF7F-30461844EA29}"/>
    <cellStyle name="Normal 4 2 4 7" xfId="1665" xr:uid="{00000000-0005-0000-0000-0000C0130000}"/>
    <cellStyle name="Normal 4 2 4 7 2" xfId="3895" xr:uid="{00000000-0005-0000-0000-0000C1130000}"/>
    <cellStyle name="Normal 4 2 4 7 2 2" xfId="8119" xr:uid="{00000000-0005-0000-0000-0000C2130000}"/>
    <cellStyle name="Normal 4 2 4 7 2 2 2" xfId="16548" xr:uid="{08553D9B-9B60-479A-B625-829CFCA25D4E}"/>
    <cellStyle name="Normal 4 2 4 7 2 3" xfId="12330" xr:uid="{E11F0CE0-977D-4EE9-8064-B579A4A12DA6}"/>
    <cellStyle name="Normal 4 2 4 7 3" xfId="5974" xr:uid="{00000000-0005-0000-0000-0000C3130000}"/>
    <cellStyle name="Normal 4 2 4 7 3 2" xfId="14403" xr:uid="{9B661383-B8E4-4C4E-8E5C-6F3C101021B6}"/>
    <cellStyle name="Normal 4 2 4 7 4" xfId="10185" xr:uid="{B43F8653-4EEB-4653-AE7E-F7C1D4F51F2C}"/>
    <cellStyle name="Normal 4 2 4 8" xfId="2079" xr:uid="{00000000-0005-0000-0000-0000C4130000}"/>
    <cellStyle name="Normal 4 2 4 8 2" xfId="4308" xr:uid="{00000000-0005-0000-0000-0000C5130000}"/>
    <cellStyle name="Normal 4 2 4 8 2 2" xfId="8532" xr:uid="{00000000-0005-0000-0000-0000C6130000}"/>
    <cellStyle name="Normal 4 2 4 8 2 2 2" xfId="16961" xr:uid="{DF88A689-BDA0-4ED5-A3DA-81CDB740C907}"/>
    <cellStyle name="Normal 4 2 4 8 2 3" xfId="12743" xr:uid="{56F346F8-A8CE-4639-B57E-B3FCCC98A59C}"/>
    <cellStyle name="Normal 4 2 4 8 3" xfId="6387" xr:uid="{00000000-0005-0000-0000-0000C7130000}"/>
    <cellStyle name="Normal 4 2 4 8 3 2" xfId="14816" xr:uid="{5817AFC4-5AE5-4D8E-9087-95365763BB6F}"/>
    <cellStyle name="Normal 4 2 4 8 4" xfId="10598" xr:uid="{02D840CF-AD24-4BFA-94CE-BF4309F289B4}"/>
    <cellStyle name="Normal 4 2 4 9" xfId="2515" xr:uid="{00000000-0005-0000-0000-0000C8130000}"/>
    <cellStyle name="Normal 4 2 4 9 2" xfId="6800" xr:uid="{00000000-0005-0000-0000-0000C9130000}"/>
    <cellStyle name="Normal 4 2 4 9 2 2" xfId="15229" xr:uid="{22303F52-3E71-4FB4-B295-1771A7DE7DE6}"/>
    <cellStyle name="Normal 4 2 4 9 3" xfId="11011" xr:uid="{D0082BE9-E2F3-49CF-874E-B7B0B82501CA}"/>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2 2" xfId="15731" xr:uid="{B395D5F9-D11E-4CBD-B819-F2C98632D6AF}"/>
    <cellStyle name="Normal 4 2 5 2 2 2 3" xfId="11513" xr:uid="{6C823A02-0033-4E92-AD5F-04EBBA2FCEE4}"/>
    <cellStyle name="Normal 4 2 5 2 2 3" xfId="5157" xr:uid="{00000000-0005-0000-0000-0000CF130000}"/>
    <cellStyle name="Normal 4 2 5 2 2 3 2" xfId="13586" xr:uid="{3318E5E7-7B71-4D22-85B8-25F83000643E}"/>
    <cellStyle name="Normal 4 2 5 2 2 4" xfId="9368" xr:uid="{2FCC6A86-74AC-4D96-82DF-2137954A27C6}"/>
    <cellStyle name="Normal 4 2 5 2 3" xfId="1261" xr:uid="{00000000-0005-0000-0000-0000D0130000}"/>
    <cellStyle name="Normal 4 2 5 2 3 2" xfId="3491" xr:uid="{00000000-0005-0000-0000-0000D1130000}"/>
    <cellStyle name="Normal 4 2 5 2 3 2 2" xfId="7715" xr:uid="{00000000-0005-0000-0000-0000D2130000}"/>
    <cellStyle name="Normal 4 2 5 2 3 2 2 2" xfId="16144" xr:uid="{F1CD5D07-E373-4A14-A8F7-C824894EFB63}"/>
    <cellStyle name="Normal 4 2 5 2 3 2 3" xfId="11926" xr:uid="{7A02A239-4CCB-4CFD-B77D-811B3E8C89BE}"/>
    <cellStyle name="Normal 4 2 5 2 3 3" xfId="5570" xr:uid="{00000000-0005-0000-0000-0000D3130000}"/>
    <cellStyle name="Normal 4 2 5 2 3 3 2" xfId="13999" xr:uid="{69DCB4FC-6EB9-4015-A3BA-CCE2EBF2E096}"/>
    <cellStyle name="Normal 4 2 5 2 3 4" xfId="9781" xr:uid="{40A3820E-28E5-452F-8C4B-3CBA0B9E9095}"/>
    <cellStyle name="Normal 4 2 5 2 4" xfId="1674" xr:uid="{00000000-0005-0000-0000-0000D4130000}"/>
    <cellStyle name="Normal 4 2 5 2 4 2" xfId="3904" xr:uid="{00000000-0005-0000-0000-0000D5130000}"/>
    <cellStyle name="Normal 4 2 5 2 4 2 2" xfId="8128" xr:uid="{00000000-0005-0000-0000-0000D6130000}"/>
    <cellStyle name="Normal 4 2 5 2 4 2 2 2" xfId="16557" xr:uid="{1DC5686F-8560-4AD8-B243-3465286F15D2}"/>
    <cellStyle name="Normal 4 2 5 2 4 2 3" xfId="12339" xr:uid="{1CD0E290-0A0D-49D2-AFE1-A6840D015250}"/>
    <cellStyle name="Normal 4 2 5 2 4 3" xfId="5983" xr:uid="{00000000-0005-0000-0000-0000D7130000}"/>
    <cellStyle name="Normal 4 2 5 2 4 3 2" xfId="14412" xr:uid="{1E70F5F5-04A4-4C6C-9BDB-7CB4E9A49C07}"/>
    <cellStyle name="Normal 4 2 5 2 4 4" xfId="10194" xr:uid="{95645F66-A25D-482F-8C82-CAAA04EB58FA}"/>
    <cellStyle name="Normal 4 2 5 2 5" xfId="2088" xr:uid="{00000000-0005-0000-0000-0000D8130000}"/>
    <cellStyle name="Normal 4 2 5 2 5 2" xfId="4317" xr:uid="{00000000-0005-0000-0000-0000D9130000}"/>
    <cellStyle name="Normal 4 2 5 2 5 2 2" xfId="8541" xr:uid="{00000000-0005-0000-0000-0000DA130000}"/>
    <cellStyle name="Normal 4 2 5 2 5 2 2 2" xfId="16970" xr:uid="{807A19F0-A4DA-4202-97CC-3EB0EF25A443}"/>
    <cellStyle name="Normal 4 2 5 2 5 2 3" xfId="12752" xr:uid="{5D7455D9-205D-4B2D-9BA8-BC831050E301}"/>
    <cellStyle name="Normal 4 2 5 2 5 3" xfId="6396" xr:uid="{00000000-0005-0000-0000-0000DB130000}"/>
    <cellStyle name="Normal 4 2 5 2 5 3 2" xfId="14825" xr:uid="{BC5CA3DB-E450-4C17-984B-3B2E0555D4E8}"/>
    <cellStyle name="Normal 4 2 5 2 5 4" xfId="10607" xr:uid="{635FFC3E-FB07-40B5-BF99-C68F7C004F93}"/>
    <cellStyle name="Normal 4 2 5 2 6" xfId="2524" xr:uid="{00000000-0005-0000-0000-0000DC130000}"/>
    <cellStyle name="Normal 4 2 5 2 6 2" xfId="6809" xr:uid="{00000000-0005-0000-0000-0000DD130000}"/>
    <cellStyle name="Normal 4 2 5 2 6 2 2" xfId="15238" xr:uid="{9940A7A4-5A91-4EF9-91A1-575327C641D2}"/>
    <cellStyle name="Normal 4 2 5 2 6 3" xfId="11020" xr:uid="{A0976E3E-01AB-473B-9944-AD3839B4380A}"/>
    <cellStyle name="Normal 4 2 5 2 7" xfId="4744" xr:uid="{00000000-0005-0000-0000-0000DE130000}"/>
    <cellStyle name="Normal 4 2 5 2 7 2" xfId="13173" xr:uid="{E56C0937-2B33-4DD8-A852-31DA816B42B4}"/>
    <cellStyle name="Normal 4 2 5 2 8" xfId="8955" xr:uid="{CD7D0EC6-D2FA-4B56-9472-FD10842C9348}"/>
    <cellStyle name="Normal 4 2 5 3" xfId="840" xr:uid="{00000000-0005-0000-0000-0000DF130000}"/>
    <cellStyle name="Normal 4 2 5 3 2" xfId="3077" xr:uid="{00000000-0005-0000-0000-0000E0130000}"/>
    <cellStyle name="Normal 4 2 5 3 2 2" xfId="7301" xr:uid="{00000000-0005-0000-0000-0000E1130000}"/>
    <cellStyle name="Normal 4 2 5 3 2 2 2" xfId="15730" xr:uid="{63ED3A55-BA25-4EC8-8448-C716EE6524A2}"/>
    <cellStyle name="Normal 4 2 5 3 2 3" xfId="11512" xr:uid="{C199F382-6FE0-46E5-9CCA-6200592EDE66}"/>
    <cellStyle name="Normal 4 2 5 3 3" xfId="5156" xr:uid="{00000000-0005-0000-0000-0000E2130000}"/>
    <cellStyle name="Normal 4 2 5 3 3 2" xfId="13585" xr:uid="{7F440110-51DB-420F-BB2E-74FEA9F595E0}"/>
    <cellStyle name="Normal 4 2 5 3 4" xfId="9367" xr:uid="{CCFCAB2B-39D1-407A-93F5-2C689E605481}"/>
    <cellStyle name="Normal 4 2 5 4" xfId="1260" xr:uid="{00000000-0005-0000-0000-0000E3130000}"/>
    <cellStyle name="Normal 4 2 5 4 2" xfId="3490" xr:uid="{00000000-0005-0000-0000-0000E4130000}"/>
    <cellStyle name="Normal 4 2 5 4 2 2" xfId="7714" xr:uid="{00000000-0005-0000-0000-0000E5130000}"/>
    <cellStyle name="Normal 4 2 5 4 2 2 2" xfId="16143" xr:uid="{92A521A0-E3A5-4FC3-8F36-2F1A9CEED7EC}"/>
    <cellStyle name="Normal 4 2 5 4 2 3" xfId="11925" xr:uid="{1BB6AFFB-E8EA-4992-B401-EFA2207B2BE2}"/>
    <cellStyle name="Normal 4 2 5 4 3" xfId="5569" xr:uid="{00000000-0005-0000-0000-0000E6130000}"/>
    <cellStyle name="Normal 4 2 5 4 3 2" xfId="13998" xr:uid="{B06CAED7-224E-48C5-A567-5B79F1E3A445}"/>
    <cellStyle name="Normal 4 2 5 4 4" xfId="9780" xr:uid="{297BC632-1098-4C09-8002-1026886510B5}"/>
    <cellStyle name="Normal 4 2 5 5" xfId="1673" xr:uid="{00000000-0005-0000-0000-0000E7130000}"/>
    <cellStyle name="Normal 4 2 5 5 2" xfId="3903" xr:uid="{00000000-0005-0000-0000-0000E8130000}"/>
    <cellStyle name="Normal 4 2 5 5 2 2" xfId="8127" xr:uid="{00000000-0005-0000-0000-0000E9130000}"/>
    <cellStyle name="Normal 4 2 5 5 2 2 2" xfId="16556" xr:uid="{BF2C463F-A31F-4479-8809-832052F09318}"/>
    <cellStyle name="Normal 4 2 5 5 2 3" xfId="12338" xr:uid="{4594BC8F-BC34-481F-A177-981209B7FFC2}"/>
    <cellStyle name="Normal 4 2 5 5 3" xfId="5982" xr:uid="{00000000-0005-0000-0000-0000EA130000}"/>
    <cellStyle name="Normal 4 2 5 5 3 2" xfId="14411" xr:uid="{E3043459-5DBE-4FA7-BA60-CC363FFC898A}"/>
    <cellStyle name="Normal 4 2 5 5 4" xfId="10193" xr:uid="{2AB3A365-DE79-46C1-ADD5-FE46DB14565E}"/>
    <cellStyle name="Normal 4 2 5 6" xfId="2087" xr:uid="{00000000-0005-0000-0000-0000EB130000}"/>
    <cellStyle name="Normal 4 2 5 6 2" xfId="4316" xr:uid="{00000000-0005-0000-0000-0000EC130000}"/>
    <cellStyle name="Normal 4 2 5 6 2 2" xfId="8540" xr:uid="{00000000-0005-0000-0000-0000ED130000}"/>
    <cellStyle name="Normal 4 2 5 6 2 2 2" xfId="16969" xr:uid="{86BA082E-F09A-41DA-A2AF-FAB769CE4FD5}"/>
    <cellStyle name="Normal 4 2 5 6 2 3" xfId="12751" xr:uid="{9656569E-97F7-40FB-89C8-47C66117661B}"/>
    <cellStyle name="Normal 4 2 5 6 3" xfId="6395" xr:uid="{00000000-0005-0000-0000-0000EE130000}"/>
    <cellStyle name="Normal 4 2 5 6 3 2" xfId="14824" xr:uid="{87DC563D-87F0-4B6B-BDBA-07924310A667}"/>
    <cellStyle name="Normal 4 2 5 6 4" xfId="10606" xr:uid="{340AB543-D1F3-4E8A-B288-C471511C41AE}"/>
    <cellStyle name="Normal 4 2 5 7" xfId="2523" xr:uid="{00000000-0005-0000-0000-0000EF130000}"/>
    <cellStyle name="Normal 4 2 5 7 2" xfId="6808" xr:uid="{00000000-0005-0000-0000-0000F0130000}"/>
    <cellStyle name="Normal 4 2 5 7 2 2" xfId="15237" xr:uid="{0090C508-0699-45FC-9F76-BC55133E07D6}"/>
    <cellStyle name="Normal 4 2 5 7 3" xfId="11019" xr:uid="{8CECC2CF-CBAF-4317-84AB-1E091CAA5A8E}"/>
    <cellStyle name="Normal 4 2 5 8" xfId="4743" xr:uid="{00000000-0005-0000-0000-0000F1130000}"/>
    <cellStyle name="Normal 4 2 5 8 2" xfId="13172" xr:uid="{A88FE5E3-6DA1-417B-B197-D4DB097AA453}"/>
    <cellStyle name="Normal 4 2 5 9" xfId="8954" xr:uid="{06C98DBB-A1D2-411B-9EEA-7FCAA338D5AF}"/>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2 2" xfId="15732" xr:uid="{67DCCE9D-A101-4515-9489-2F697FFA9427}"/>
    <cellStyle name="Normal 4 2 6 2 2 3" xfId="11514" xr:uid="{3F18098F-A9B1-4E42-BEFC-1E29B9C493B2}"/>
    <cellStyle name="Normal 4 2 6 2 3" xfId="5158" xr:uid="{00000000-0005-0000-0000-0000F6130000}"/>
    <cellStyle name="Normal 4 2 6 2 3 2" xfId="13587" xr:uid="{F17858C3-8611-412B-A979-B7D0FDE98BEF}"/>
    <cellStyle name="Normal 4 2 6 2 4" xfId="9369" xr:uid="{87F888A6-B20F-4E88-9FC5-F7D833958565}"/>
    <cellStyle name="Normal 4 2 6 3" xfId="1262" xr:uid="{00000000-0005-0000-0000-0000F7130000}"/>
    <cellStyle name="Normal 4 2 6 3 2" xfId="3492" xr:uid="{00000000-0005-0000-0000-0000F8130000}"/>
    <cellStyle name="Normal 4 2 6 3 2 2" xfId="7716" xr:uid="{00000000-0005-0000-0000-0000F9130000}"/>
    <cellStyle name="Normal 4 2 6 3 2 2 2" xfId="16145" xr:uid="{B4CBCFFA-D53C-409E-960E-164ACC322771}"/>
    <cellStyle name="Normal 4 2 6 3 2 3" xfId="11927" xr:uid="{AB596B54-B9DC-44DE-B722-6EDE60F89BA2}"/>
    <cellStyle name="Normal 4 2 6 3 3" xfId="5571" xr:uid="{00000000-0005-0000-0000-0000FA130000}"/>
    <cellStyle name="Normal 4 2 6 3 3 2" xfId="14000" xr:uid="{AC1CCA9C-47A3-4EF5-AB97-2E8FD8FB1E8F}"/>
    <cellStyle name="Normal 4 2 6 3 4" xfId="9782" xr:uid="{C1C289A2-7A63-4CFF-B150-CB11E4BE7DBB}"/>
    <cellStyle name="Normal 4 2 6 4" xfId="1675" xr:uid="{00000000-0005-0000-0000-0000FB130000}"/>
    <cellStyle name="Normal 4 2 6 4 2" xfId="3905" xr:uid="{00000000-0005-0000-0000-0000FC130000}"/>
    <cellStyle name="Normal 4 2 6 4 2 2" xfId="8129" xr:uid="{00000000-0005-0000-0000-0000FD130000}"/>
    <cellStyle name="Normal 4 2 6 4 2 2 2" xfId="16558" xr:uid="{EA3C101B-2C20-4A0D-9B7C-C3DCCF3F955B}"/>
    <cellStyle name="Normal 4 2 6 4 2 3" xfId="12340" xr:uid="{CE4E468F-6D4E-481D-A895-C7B1247E7636}"/>
    <cellStyle name="Normal 4 2 6 4 3" xfId="5984" xr:uid="{00000000-0005-0000-0000-0000FE130000}"/>
    <cellStyle name="Normal 4 2 6 4 3 2" xfId="14413" xr:uid="{18DF5474-6D5B-486A-9290-5269B738AB36}"/>
    <cellStyle name="Normal 4 2 6 4 4" xfId="10195" xr:uid="{9A3E124D-0C45-440E-9E6E-7F219F675F54}"/>
    <cellStyle name="Normal 4 2 6 5" xfId="2089" xr:uid="{00000000-0005-0000-0000-0000FF130000}"/>
    <cellStyle name="Normal 4 2 6 5 2" xfId="4318" xr:uid="{00000000-0005-0000-0000-000000140000}"/>
    <cellStyle name="Normal 4 2 6 5 2 2" xfId="8542" xr:uid="{00000000-0005-0000-0000-000001140000}"/>
    <cellStyle name="Normal 4 2 6 5 2 2 2" xfId="16971" xr:uid="{4C1A75CF-2CB1-483D-837B-A66D94EF6347}"/>
    <cellStyle name="Normal 4 2 6 5 2 3" xfId="12753" xr:uid="{16F38F43-19C7-4132-98F0-B41A280E9B54}"/>
    <cellStyle name="Normal 4 2 6 5 3" xfId="6397" xr:uid="{00000000-0005-0000-0000-000002140000}"/>
    <cellStyle name="Normal 4 2 6 5 3 2" xfId="14826" xr:uid="{AEEF7ACC-8FFC-4916-9609-1397F0D5AF64}"/>
    <cellStyle name="Normal 4 2 6 5 4" xfId="10608" xr:uid="{E931BF57-B28F-46C6-B6EA-134C976F908E}"/>
    <cellStyle name="Normal 4 2 6 6" xfId="2525" xr:uid="{00000000-0005-0000-0000-000003140000}"/>
    <cellStyle name="Normal 4 2 6 6 2" xfId="6810" xr:uid="{00000000-0005-0000-0000-000004140000}"/>
    <cellStyle name="Normal 4 2 6 6 2 2" xfId="15239" xr:uid="{B64C7CB7-3495-4392-8CF8-87356D52B80A}"/>
    <cellStyle name="Normal 4 2 6 6 3" xfId="11021" xr:uid="{B6E18971-DDE0-4C39-AA5E-CB6D0946987D}"/>
    <cellStyle name="Normal 4 2 6 7" xfId="4745" xr:uid="{00000000-0005-0000-0000-000005140000}"/>
    <cellStyle name="Normal 4 2 6 7 2" xfId="13174" xr:uid="{298DFD87-9A8A-4CB1-A3E4-10A1ED49D249}"/>
    <cellStyle name="Normal 4 2 6 8" xfId="8956" xr:uid="{092C7D22-216B-4789-B83C-13F1AD9B7195}"/>
    <cellStyle name="Normal 4 3" xfId="366" xr:uid="{00000000-0005-0000-0000-000006140000}"/>
    <cellStyle name="Normal 4 3 10" xfId="8957" xr:uid="{D29A7B69-AA93-4BDA-84BF-7E1DDB54F3C5}"/>
    <cellStyle name="Normal 4 3 2" xfId="367" xr:uid="{00000000-0005-0000-0000-000007140000}"/>
    <cellStyle name="Normal 4 3 2 2" xfId="368" xr:uid="{00000000-0005-0000-0000-000008140000}"/>
    <cellStyle name="Normal 4 3 2 2 2" xfId="369" xr:uid="{00000000-0005-0000-0000-000009140000}"/>
    <cellStyle name="Normal 4 3 2 2 2 10" xfId="8958" xr:uid="{F7D36333-85A8-4022-A42E-525139091462}"/>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2 2" xfId="15736" xr:uid="{83FB35B9-E859-4602-8BD0-5460C6FA2B90}"/>
    <cellStyle name="Normal 4 3 2 2 2 2 2 2 2 3" xfId="11518" xr:uid="{85B842F5-4D7D-4378-ADBC-5E174FC29A31}"/>
    <cellStyle name="Normal 4 3 2 2 2 2 2 2 3" xfId="5162" xr:uid="{00000000-0005-0000-0000-00000F140000}"/>
    <cellStyle name="Normal 4 3 2 2 2 2 2 2 3 2" xfId="13591" xr:uid="{61F520ED-C836-496B-A0C7-4C652EA8E31B}"/>
    <cellStyle name="Normal 4 3 2 2 2 2 2 2 4" xfId="9373" xr:uid="{11A230B7-C257-4B41-AA46-612527EC6617}"/>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2 2" xfId="16149" xr:uid="{D4CC8FCF-9DA1-4647-9171-C9673E83FB99}"/>
    <cellStyle name="Normal 4 3 2 2 2 2 2 3 2 3" xfId="11931" xr:uid="{7F6EDBFC-F4B9-4BCE-A2E6-8BDC5D41B3CF}"/>
    <cellStyle name="Normal 4 3 2 2 2 2 2 3 3" xfId="5575" xr:uid="{00000000-0005-0000-0000-000013140000}"/>
    <cellStyle name="Normal 4 3 2 2 2 2 2 3 3 2" xfId="14004" xr:uid="{076B6059-82A0-4DFE-9BDC-F6470BADC382}"/>
    <cellStyle name="Normal 4 3 2 2 2 2 2 3 4" xfId="9786" xr:uid="{90639D03-B2CD-4D1B-8633-957C90D07C53}"/>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2 2" xfId="16562" xr:uid="{729A1110-2882-4B9E-8DB6-E89ABA5E1315}"/>
    <cellStyle name="Normal 4 3 2 2 2 2 2 4 2 3" xfId="12344" xr:uid="{086E29D8-C42B-45AD-BB4F-4D7E56DA851A}"/>
    <cellStyle name="Normal 4 3 2 2 2 2 2 4 3" xfId="5988" xr:uid="{00000000-0005-0000-0000-000017140000}"/>
    <cellStyle name="Normal 4 3 2 2 2 2 2 4 3 2" xfId="14417" xr:uid="{7879A92D-9B92-4800-86C4-10F5291111AE}"/>
    <cellStyle name="Normal 4 3 2 2 2 2 2 4 4" xfId="10199" xr:uid="{F524D7C0-3193-461D-8F82-B8C514923A08}"/>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2 2" xfId="16975" xr:uid="{E239FC5B-245F-4E4E-881D-BF91CAF3A41E}"/>
    <cellStyle name="Normal 4 3 2 2 2 2 2 5 2 3" xfId="12757" xr:uid="{1753328E-7B1E-4504-BC2F-59832F07E90F}"/>
    <cellStyle name="Normal 4 3 2 2 2 2 2 5 3" xfId="6401" xr:uid="{00000000-0005-0000-0000-00001B140000}"/>
    <cellStyle name="Normal 4 3 2 2 2 2 2 5 3 2" xfId="14830" xr:uid="{195651BF-E5C3-4D9B-9801-F0A730364306}"/>
    <cellStyle name="Normal 4 3 2 2 2 2 2 5 4" xfId="10612" xr:uid="{3D195AEE-5757-4B61-AE26-35AA759045D2}"/>
    <cellStyle name="Normal 4 3 2 2 2 2 2 6" xfId="2529" xr:uid="{00000000-0005-0000-0000-00001C140000}"/>
    <cellStyle name="Normal 4 3 2 2 2 2 2 6 2" xfId="6814" xr:uid="{00000000-0005-0000-0000-00001D140000}"/>
    <cellStyle name="Normal 4 3 2 2 2 2 2 6 2 2" xfId="15243" xr:uid="{AC635B85-23E3-43A2-B2C4-D7E315FFFDD0}"/>
    <cellStyle name="Normal 4 3 2 2 2 2 2 6 3" xfId="11025" xr:uid="{278FEFB0-B2F5-4C98-8A78-49814F698DE1}"/>
    <cellStyle name="Normal 4 3 2 2 2 2 2 7" xfId="4749" xr:uid="{00000000-0005-0000-0000-00001E140000}"/>
    <cellStyle name="Normal 4 3 2 2 2 2 2 7 2" xfId="13178" xr:uid="{C4029C6D-01FC-42F6-8B3F-49DECBE41F0E}"/>
    <cellStyle name="Normal 4 3 2 2 2 2 2 8" xfId="8960" xr:uid="{39EC913D-7E50-4E55-B260-7A85B125786A}"/>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2 2" xfId="15735" xr:uid="{06010F8F-DCBF-40E2-BD70-BD99CD75AD15}"/>
    <cellStyle name="Normal 4 3 2 2 2 2 3 2 3" xfId="11517" xr:uid="{7575F5AB-4514-4695-ADEF-3F3D87EFAAE7}"/>
    <cellStyle name="Normal 4 3 2 2 2 2 3 3" xfId="5161" xr:uid="{00000000-0005-0000-0000-000022140000}"/>
    <cellStyle name="Normal 4 3 2 2 2 2 3 3 2" xfId="13590" xr:uid="{38681D4F-36C2-4A06-BD33-52FD87906023}"/>
    <cellStyle name="Normal 4 3 2 2 2 2 3 4" xfId="9372" xr:uid="{27091D81-6FF6-40F8-9856-107783E3E40D}"/>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2 2" xfId="16148" xr:uid="{C8B9E007-4FCF-4166-ADA1-7A143EEA7A23}"/>
    <cellStyle name="Normal 4 3 2 2 2 2 4 2 3" xfId="11930" xr:uid="{13DE933C-6E93-4546-A6CB-7C831150C834}"/>
    <cellStyle name="Normal 4 3 2 2 2 2 4 3" xfId="5574" xr:uid="{00000000-0005-0000-0000-000026140000}"/>
    <cellStyle name="Normal 4 3 2 2 2 2 4 3 2" xfId="14003" xr:uid="{BADD04F4-99E1-4A3F-9438-2032C26E7AA5}"/>
    <cellStyle name="Normal 4 3 2 2 2 2 4 4" xfId="9785" xr:uid="{65C3BEA1-C4A2-497D-8380-F55AA6765D6D}"/>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2 2" xfId="16561" xr:uid="{41E7D012-5D93-4EBD-AB1E-0FD61DE2A363}"/>
    <cellStyle name="Normal 4 3 2 2 2 2 5 2 3" xfId="12343" xr:uid="{5F4BC59D-6487-4208-B790-1C93811BD804}"/>
    <cellStyle name="Normal 4 3 2 2 2 2 5 3" xfId="5987" xr:uid="{00000000-0005-0000-0000-00002A140000}"/>
    <cellStyle name="Normal 4 3 2 2 2 2 5 3 2" xfId="14416" xr:uid="{AEF3A477-B473-4027-80CA-D7328F1CA635}"/>
    <cellStyle name="Normal 4 3 2 2 2 2 5 4" xfId="10198" xr:uid="{75299F41-2CA9-4FE8-A12C-15147EA80935}"/>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2 2" xfId="16974" xr:uid="{90DFBABC-DAAC-4F48-A275-1AF72BA34CA7}"/>
    <cellStyle name="Normal 4 3 2 2 2 2 6 2 3" xfId="12756" xr:uid="{D5C33D5E-398A-4CB2-93A4-3EC5809BED5F}"/>
    <cellStyle name="Normal 4 3 2 2 2 2 6 3" xfId="6400" xr:uid="{00000000-0005-0000-0000-00002E140000}"/>
    <cellStyle name="Normal 4 3 2 2 2 2 6 3 2" xfId="14829" xr:uid="{5853A9DA-9FBC-4966-BA12-38F38F1D9B38}"/>
    <cellStyle name="Normal 4 3 2 2 2 2 6 4" xfId="10611" xr:uid="{5E3F67D2-3167-42D9-8660-1C18EC30D3DB}"/>
    <cellStyle name="Normal 4 3 2 2 2 2 7" xfId="2528" xr:uid="{00000000-0005-0000-0000-00002F140000}"/>
    <cellStyle name="Normal 4 3 2 2 2 2 7 2" xfId="6813" xr:uid="{00000000-0005-0000-0000-000030140000}"/>
    <cellStyle name="Normal 4 3 2 2 2 2 7 2 2" xfId="15242" xr:uid="{D8CC2216-F96A-4EA4-BB1E-11145C51B3F3}"/>
    <cellStyle name="Normal 4 3 2 2 2 2 7 3" xfId="11024" xr:uid="{09E13986-AAEF-4413-BF72-2772EB119CB9}"/>
    <cellStyle name="Normal 4 3 2 2 2 2 8" xfId="4748" xr:uid="{00000000-0005-0000-0000-000031140000}"/>
    <cellStyle name="Normal 4 3 2 2 2 2 8 2" xfId="13177" xr:uid="{C061CBAC-3BA4-4EC7-8A1B-33D906ED79D9}"/>
    <cellStyle name="Normal 4 3 2 2 2 2 9" xfId="8959" xr:uid="{F039F8E6-C898-4A36-BC5E-780078B4B2C9}"/>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2 2" xfId="15737" xr:uid="{83850CA1-EB35-4E09-BA04-0E3C17618394}"/>
    <cellStyle name="Normal 4 3 2 2 2 3 2 2 3" xfId="11519" xr:uid="{25D67532-51C0-488A-B9DD-6222D32EB806}"/>
    <cellStyle name="Normal 4 3 2 2 2 3 2 3" xfId="5163" xr:uid="{00000000-0005-0000-0000-000036140000}"/>
    <cellStyle name="Normal 4 3 2 2 2 3 2 3 2" xfId="13592" xr:uid="{9CF542F2-7BEB-4AE1-9955-B9956C651054}"/>
    <cellStyle name="Normal 4 3 2 2 2 3 2 4" xfId="9374" xr:uid="{72DBD02E-FEF8-47D3-8340-4897BC70C12C}"/>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2 2" xfId="16150" xr:uid="{CE0A557F-4C92-4228-A3A4-9EBCDC59A54D}"/>
    <cellStyle name="Normal 4 3 2 2 2 3 3 2 3" xfId="11932" xr:uid="{DE9A4F67-4053-4B55-9D3A-101BBDE80127}"/>
    <cellStyle name="Normal 4 3 2 2 2 3 3 3" xfId="5576" xr:uid="{00000000-0005-0000-0000-00003A140000}"/>
    <cellStyle name="Normal 4 3 2 2 2 3 3 3 2" xfId="14005" xr:uid="{50994D82-CC92-44F9-AA62-72E6FEBFF350}"/>
    <cellStyle name="Normal 4 3 2 2 2 3 3 4" xfId="9787" xr:uid="{28AAE8A7-C0DC-4092-B3C5-5DCE816F7449}"/>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2 2" xfId="16563" xr:uid="{F54A0456-EE41-4A4D-A4B7-5CE73BE8CB6D}"/>
    <cellStyle name="Normal 4 3 2 2 2 3 4 2 3" xfId="12345" xr:uid="{2B032C74-14D4-4FB6-BB7B-F1D135748AA2}"/>
    <cellStyle name="Normal 4 3 2 2 2 3 4 3" xfId="5989" xr:uid="{00000000-0005-0000-0000-00003E140000}"/>
    <cellStyle name="Normal 4 3 2 2 2 3 4 3 2" xfId="14418" xr:uid="{E2EB9AE5-4B7C-49AD-82D1-EC3AFA2445CE}"/>
    <cellStyle name="Normal 4 3 2 2 2 3 4 4" xfId="10200" xr:uid="{B1CFFB6D-57BB-4CCB-85C8-261031A31E76}"/>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2 2" xfId="16976" xr:uid="{DDD081DD-7C53-4B2E-87ED-EA6ABFBAA756}"/>
    <cellStyle name="Normal 4 3 2 2 2 3 5 2 3" xfId="12758" xr:uid="{0431E1BD-0485-4093-B1D8-C8F1C61BA439}"/>
    <cellStyle name="Normal 4 3 2 2 2 3 5 3" xfId="6402" xr:uid="{00000000-0005-0000-0000-000042140000}"/>
    <cellStyle name="Normal 4 3 2 2 2 3 5 3 2" xfId="14831" xr:uid="{40496B23-CC1B-4F54-A4E2-C453F7C78631}"/>
    <cellStyle name="Normal 4 3 2 2 2 3 5 4" xfId="10613" xr:uid="{EC150269-974E-4D17-8593-F64B299A0553}"/>
    <cellStyle name="Normal 4 3 2 2 2 3 6" xfId="2530" xr:uid="{00000000-0005-0000-0000-000043140000}"/>
    <cellStyle name="Normal 4 3 2 2 2 3 6 2" xfId="6815" xr:uid="{00000000-0005-0000-0000-000044140000}"/>
    <cellStyle name="Normal 4 3 2 2 2 3 6 2 2" xfId="15244" xr:uid="{473588FE-7D65-4459-92ED-8B1FA83343A5}"/>
    <cellStyle name="Normal 4 3 2 2 2 3 6 3" xfId="11026" xr:uid="{35C81539-77D4-46C2-8DC4-800ACB379277}"/>
    <cellStyle name="Normal 4 3 2 2 2 3 7" xfId="4750" xr:uid="{00000000-0005-0000-0000-000045140000}"/>
    <cellStyle name="Normal 4 3 2 2 2 3 7 2" xfId="13179" xr:uid="{7426D809-DD75-42F1-B363-794C027CAD14}"/>
    <cellStyle name="Normal 4 3 2 2 2 3 8" xfId="8961" xr:uid="{4DCE4E10-6D53-4641-BFF0-224AFFDB194D}"/>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2 2" xfId="15734" xr:uid="{9781FD96-1C3B-48DE-B6BF-B2B0D2C348DA}"/>
    <cellStyle name="Normal 4 3 2 2 2 4 2 3" xfId="11516" xr:uid="{651EE102-1A54-472F-89E9-0957272D02CB}"/>
    <cellStyle name="Normal 4 3 2 2 2 4 3" xfId="5160" xr:uid="{00000000-0005-0000-0000-000049140000}"/>
    <cellStyle name="Normal 4 3 2 2 2 4 3 2" xfId="13589" xr:uid="{4412EBE8-C384-4103-8B5B-0CBD0B01E8FB}"/>
    <cellStyle name="Normal 4 3 2 2 2 4 4" xfId="9371" xr:uid="{0EC20FAD-DBD5-454F-8680-A10F60D567FC}"/>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2 2" xfId="16147" xr:uid="{4950EA17-04B3-472A-9482-2F63D601C003}"/>
    <cellStyle name="Normal 4 3 2 2 2 5 2 3" xfId="11929" xr:uid="{B1C81D47-6588-4CEE-9703-5505E2E3298F}"/>
    <cellStyle name="Normal 4 3 2 2 2 5 3" xfId="5573" xr:uid="{00000000-0005-0000-0000-00004D140000}"/>
    <cellStyle name="Normal 4 3 2 2 2 5 3 2" xfId="14002" xr:uid="{FF98D15B-88D9-48FE-8DEF-283CAC960029}"/>
    <cellStyle name="Normal 4 3 2 2 2 5 4" xfId="9784" xr:uid="{04EFA043-FB96-4AD7-B58C-145A3AB31A42}"/>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2 2" xfId="16560" xr:uid="{A0098B11-A4C3-401F-BA71-48EA65152325}"/>
    <cellStyle name="Normal 4 3 2 2 2 6 2 3" xfId="12342" xr:uid="{FB38DA9C-52C0-4A14-BA14-397DFE1B7480}"/>
    <cellStyle name="Normal 4 3 2 2 2 6 3" xfId="5986" xr:uid="{00000000-0005-0000-0000-000051140000}"/>
    <cellStyle name="Normal 4 3 2 2 2 6 3 2" xfId="14415" xr:uid="{050C048E-7EA8-4BC2-BFF4-A0A3FC10A5B4}"/>
    <cellStyle name="Normal 4 3 2 2 2 6 4" xfId="10197" xr:uid="{4A8A9019-EDF8-403B-84AD-21415F5F755B}"/>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2 2" xfId="16973" xr:uid="{4302CF55-1935-4E26-91A9-90052DCFA3DA}"/>
    <cellStyle name="Normal 4 3 2 2 2 7 2 3" xfId="12755" xr:uid="{AEA8C530-64AF-4CEE-9873-2E37CC3FAC73}"/>
    <cellStyle name="Normal 4 3 2 2 2 7 3" xfId="6399" xr:uid="{00000000-0005-0000-0000-000055140000}"/>
    <cellStyle name="Normal 4 3 2 2 2 7 3 2" xfId="14828" xr:uid="{4B0F6E94-BF7D-4D71-B69F-C498FA37C143}"/>
    <cellStyle name="Normal 4 3 2 2 2 7 4" xfId="10610" xr:uid="{704EA845-6C59-4454-8521-DE3B5C529E7A}"/>
    <cellStyle name="Normal 4 3 2 2 2 8" xfId="2527" xr:uid="{00000000-0005-0000-0000-000056140000}"/>
    <cellStyle name="Normal 4 3 2 2 2 8 2" xfId="6812" xr:uid="{00000000-0005-0000-0000-000057140000}"/>
    <cellStyle name="Normal 4 3 2 2 2 8 2 2" xfId="15241" xr:uid="{A2B7FB0E-B09C-4AC8-9CB9-E4D10B0EBB2B}"/>
    <cellStyle name="Normal 4 3 2 2 2 8 3" xfId="11023" xr:uid="{F9F4C1FE-B058-480F-8373-296C305BF283}"/>
    <cellStyle name="Normal 4 3 2 2 2 9" xfId="4747" xr:uid="{00000000-0005-0000-0000-000058140000}"/>
    <cellStyle name="Normal 4 3 2 2 2 9 2" xfId="13176" xr:uid="{166767A4-EE58-45DE-AD13-87B37AF1010E}"/>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2" xr:uid="{791F59A9-95AA-419D-ABEA-AF183A3C1A09}"/>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2 2" xfId="15740" xr:uid="{E7EF77DA-37EF-4325-A2DA-DAEBDF50A578}"/>
    <cellStyle name="Normal 4 3 3 2 2 2 2 3" xfId="11522" xr:uid="{5B2556EF-1CF0-47B1-9D63-6DB242C03398}"/>
    <cellStyle name="Normal 4 3 3 2 2 2 3" xfId="5166" xr:uid="{00000000-0005-0000-0000-000062140000}"/>
    <cellStyle name="Normal 4 3 3 2 2 2 3 2" xfId="13595" xr:uid="{2A884957-FEFA-442E-AFB2-C8D2281D2096}"/>
    <cellStyle name="Normal 4 3 3 2 2 2 4" xfId="9377" xr:uid="{F412D348-DFEA-4E56-AF0F-FF4575A98D9E}"/>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2 2" xfId="16153" xr:uid="{084CF423-B996-4E4F-936A-9693B6DEB9C5}"/>
    <cellStyle name="Normal 4 3 3 2 2 3 2 3" xfId="11935" xr:uid="{3D4396E9-2CD8-4048-BE01-DF38ECBF132B}"/>
    <cellStyle name="Normal 4 3 3 2 2 3 3" xfId="5579" xr:uid="{00000000-0005-0000-0000-000066140000}"/>
    <cellStyle name="Normal 4 3 3 2 2 3 3 2" xfId="14008" xr:uid="{4F5A36E2-1B3C-47CB-8CDE-7235F4DFC497}"/>
    <cellStyle name="Normal 4 3 3 2 2 3 4" xfId="9790" xr:uid="{2489A30F-D218-40A7-B707-7DC0754767C4}"/>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2 2" xfId="16566" xr:uid="{636158A0-ED06-41DA-985C-6357EF43D789}"/>
    <cellStyle name="Normal 4 3 3 2 2 4 2 3" xfId="12348" xr:uid="{1DF0CC20-9044-476B-8E67-F3E4DE693797}"/>
    <cellStyle name="Normal 4 3 3 2 2 4 3" xfId="5992" xr:uid="{00000000-0005-0000-0000-00006A140000}"/>
    <cellStyle name="Normal 4 3 3 2 2 4 3 2" xfId="14421" xr:uid="{FC25413E-F788-4485-892A-42465951ED51}"/>
    <cellStyle name="Normal 4 3 3 2 2 4 4" xfId="10203" xr:uid="{64A88127-2268-4665-B3C6-537C8FFDD3DC}"/>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2 2" xfId="16979" xr:uid="{F8A7D86A-776A-4D5C-A4F4-55CB1F6BD11D}"/>
    <cellStyle name="Normal 4 3 3 2 2 5 2 3" xfId="12761" xr:uid="{F332B27A-EE3F-46E3-82C6-128024C9EA33}"/>
    <cellStyle name="Normal 4 3 3 2 2 5 3" xfId="6405" xr:uid="{00000000-0005-0000-0000-00006E140000}"/>
    <cellStyle name="Normal 4 3 3 2 2 5 3 2" xfId="14834" xr:uid="{AD4161D2-DABE-4558-A4F2-9B431190BE3B}"/>
    <cellStyle name="Normal 4 3 3 2 2 5 4" xfId="10616" xr:uid="{10D52270-CD0C-4348-B512-85E4855F71FC}"/>
    <cellStyle name="Normal 4 3 3 2 2 6" xfId="2533" xr:uid="{00000000-0005-0000-0000-00006F140000}"/>
    <cellStyle name="Normal 4 3 3 2 2 6 2" xfId="6818" xr:uid="{00000000-0005-0000-0000-000070140000}"/>
    <cellStyle name="Normal 4 3 3 2 2 6 2 2" xfId="15247" xr:uid="{C4412CF8-258A-4C0F-BD2F-153ABDD7D7A0}"/>
    <cellStyle name="Normal 4 3 3 2 2 6 3" xfId="11029" xr:uid="{E02E8E40-27AC-430D-9CCE-826B78C687D7}"/>
    <cellStyle name="Normal 4 3 3 2 2 7" xfId="4753" xr:uid="{00000000-0005-0000-0000-000071140000}"/>
    <cellStyle name="Normal 4 3 3 2 2 7 2" xfId="13182" xr:uid="{5A0A4A5E-03FA-4E77-9F43-C38A47CE84C0}"/>
    <cellStyle name="Normal 4 3 3 2 2 8" xfId="8964" xr:uid="{0224BFF4-F640-4D55-B11C-D4894EB0A8AF}"/>
    <cellStyle name="Normal 4 3 3 2 3" xfId="851" xr:uid="{00000000-0005-0000-0000-000072140000}"/>
    <cellStyle name="Normal 4 3 3 2 3 2" xfId="3086" xr:uid="{00000000-0005-0000-0000-000073140000}"/>
    <cellStyle name="Normal 4 3 3 2 3 2 2" xfId="7310" xr:uid="{00000000-0005-0000-0000-000074140000}"/>
    <cellStyle name="Normal 4 3 3 2 3 2 2 2" xfId="15739" xr:uid="{2D4F09B0-143B-42A7-A70D-3320B4C8D286}"/>
    <cellStyle name="Normal 4 3 3 2 3 2 3" xfId="11521" xr:uid="{3F5DDB7B-5D82-44DB-BDD4-BE9611BBF1A9}"/>
    <cellStyle name="Normal 4 3 3 2 3 3" xfId="5165" xr:uid="{00000000-0005-0000-0000-000075140000}"/>
    <cellStyle name="Normal 4 3 3 2 3 3 2" xfId="13594" xr:uid="{5A166A5C-7A93-4632-B341-EE5166773061}"/>
    <cellStyle name="Normal 4 3 3 2 3 4" xfId="9376" xr:uid="{915546D8-29D3-40A1-BC3C-0907A3BA87C0}"/>
    <cellStyle name="Normal 4 3 3 2 4" xfId="1269" xr:uid="{00000000-0005-0000-0000-000076140000}"/>
    <cellStyle name="Normal 4 3 3 2 4 2" xfId="3499" xr:uid="{00000000-0005-0000-0000-000077140000}"/>
    <cellStyle name="Normal 4 3 3 2 4 2 2" xfId="7723" xr:uid="{00000000-0005-0000-0000-000078140000}"/>
    <cellStyle name="Normal 4 3 3 2 4 2 2 2" xfId="16152" xr:uid="{DC3A4B91-7272-4673-84E7-BD5A89C9064C}"/>
    <cellStyle name="Normal 4 3 3 2 4 2 3" xfId="11934" xr:uid="{D01B8D67-4C52-4D06-BC4C-5F7FE21C1A2E}"/>
    <cellStyle name="Normal 4 3 3 2 4 3" xfId="5578" xr:uid="{00000000-0005-0000-0000-000079140000}"/>
    <cellStyle name="Normal 4 3 3 2 4 3 2" xfId="14007" xr:uid="{7318B36F-18E6-4DBF-AB72-49E11BD2EEA0}"/>
    <cellStyle name="Normal 4 3 3 2 4 4" xfId="9789" xr:uid="{3DF47070-1FE9-427A-B600-6DB26A26113A}"/>
    <cellStyle name="Normal 4 3 3 2 5" xfId="1682" xr:uid="{00000000-0005-0000-0000-00007A140000}"/>
    <cellStyle name="Normal 4 3 3 2 5 2" xfId="3912" xr:uid="{00000000-0005-0000-0000-00007B140000}"/>
    <cellStyle name="Normal 4 3 3 2 5 2 2" xfId="8136" xr:uid="{00000000-0005-0000-0000-00007C140000}"/>
    <cellStyle name="Normal 4 3 3 2 5 2 2 2" xfId="16565" xr:uid="{39AD1E27-5A95-4A2E-B014-30040B0B7796}"/>
    <cellStyle name="Normal 4 3 3 2 5 2 3" xfId="12347" xr:uid="{B56B2E09-CDA7-410D-840B-FBD01378292E}"/>
    <cellStyle name="Normal 4 3 3 2 5 3" xfId="5991" xr:uid="{00000000-0005-0000-0000-00007D140000}"/>
    <cellStyle name="Normal 4 3 3 2 5 3 2" xfId="14420" xr:uid="{BCE8F28B-53C1-4806-B5B5-4C9DE055A553}"/>
    <cellStyle name="Normal 4 3 3 2 5 4" xfId="10202" xr:uid="{0FDF3616-3B1A-493F-BB42-A99ECF636165}"/>
    <cellStyle name="Normal 4 3 3 2 6" xfId="2096" xr:uid="{00000000-0005-0000-0000-00007E140000}"/>
    <cellStyle name="Normal 4 3 3 2 6 2" xfId="4325" xr:uid="{00000000-0005-0000-0000-00007F140000}"/>
    <cellStyle name="Normal 4 3 3 2 6 2 2" xfId="8549" xr:uid="{00000000-0005-0000-0000-000080140000}"/>
    <cellStyle name="Normal 4 3 3 2 6 2 2 2" xfId="16978" xr:uid="{A7692BC5-CBF0-4BC1-BDAB-63F6E796BA71}"/>
    <cellStyle name="Normal 4 3 3 2 6 2 3" xfId="12760" xr:uid="{BB5897A0-4B9F-466B-A75A-261010F7D693}"/>
    <cellStyle name="Normal 4 3 3 2 6 3" xfId="6404" xr:uid="{00000000-0005-0000-0000-000081140000}"/>
    <cellStyle name="Normal 4 3 3 2 6 3 2" xfId="14833" xr:uid="{9821C1AC-9D00-4A1B-AC6A-5578029BE0A2}"/>
    <cellStyle name="Normal 4 3 3 2 6 4" xfId="10615" xr:uid="{205590EB-8CDD-4C06-8DF9-722308E31514}"/>
    <cellStyle name="Normal 4 3 3 2 7" xfId="2532" xr:uid="{00000000-0005-0000-0000-000082140000}"/>
    <cellStyle name="Normal 4 3 3 2 7 2" xfId="6817" xr:uid="{00000000-0005-0000-0000-000083140000}"/>
    <cellStyle name="Normal 4 3 3 2 7 2 2" xfId="15246" xr:uid="{86E1B429-478B-43A4-A785-11673E9C60B0}"/>
    <cellStyle name="Normal 4 3 3 2 7 3" xfId="11028" xr:uid="{D5AB6922-6C0E-44A9-B048-23503BF00B57}"/>
    <cellStyle name="Normal 4 3 3 2 8" xfId="4752" xr:uid="{00000000-0005-0000-0000-000084140000}"/>
    <cellStyle name="Normal 4 3 3 2 8 2" xfId="13181" xr:uid="{7531A523-2E3A-4A27-8557-B2762C63F2FD}"/>
    <cellStyle name="Normal 4 3 3 2 9" xfId="8963" xr:uid="{13B7DAA4-31BB-413E-A21B-B4D0F6576454}"/>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2 2" xfId="15741" xr:uid="{0F6BCFCE-1893-4D2B-894D-4C1D060E7A2A}"/>
    <cellStyle name="Normal 4 3 3 3 2 2 3" xfId="11523" xr:uid="{ADC943AE-3E83-4B5C-A163-BA9A59689DA3}"/>
    <cellStyle name="Normal 4 3 3 3 2 3" xfId="5167" xr:uid="{00000000-0005-0000-0000-000089140000}"/>
    <cellStyle name="Normal 4 3 3 3 2 3 2" xfId="13596" xr:uid="{E80067F4-8319-4DB0-9917-1007CE433933}"/>
    <cellStyle name="Normal 4 3 3 3 2 4" xfId="9378" xr:uid="{48A26A5A-5E4E-4991-8379-F9C07D7E28F4}"/>
    <cellStyle name="Normal 4 3 3 3 3" xfId="1271" xr:uid="{00000000-0005-0000-0000-00008A140000}"/>
    <cellStyle name="Normal 4 3 3 3 3 2" xfId="3501" xr:uid="{00000000-0005-0000-0000-00008B140000}"/>
    <cellStyle name="Normal 4 3 3 3 3 2 2" xfId="7725" xr:uid="{00000000-0005-0000-0000-00008C140000}"/>
    <cellStyle name="Normal 4 3 3 3 3 2 2 2" xfId="16154" xr:uid="{BD453286-A6E3-4D93-853C-D29F4ADE2392}"/>
    <cellStyle name="Normal 4 3 3 3 3 2 3" xfId="11936" xr:uid="{DAEE0165-16F8-47B3-B4E6-F4AC448364CB}"/>
    <cellStyle name="Normal 4 3 3 3 3 3" xfId="5580" xr:uid="{00000000-0005-0000-0000-00008D140000}"/>
    <cellStyle name="Normal 4 3 3 3 3 3 2" xfId="14009" xr:uid="{2ED3545C-57EC-47B4-99CB-7FD86EF9CA82}"/>
    <cellStyle name="Normal 4 3 3 3 3 4" xfId="9791" xr:uid="{2B732B86-97BC-4FE2-B9CE-BC8062EF9C9A}"/>
    <cellStyle name="Normal 4 3 3 3 4" xfId="1684" xr:uid="{00000000-0005-0000-0000-00008E140000}"/>
    <cellStyle name="Normal 4 3 3 3 4 2" xfId="3914" xr:uid="{00000000-0005-0000-0000-00008F140000}"/>
    <cellStyle name="Normal 4 3 3 3 4 2 2" xfId="8138" xr:uid="{00000000-0005-0000-0000-000090140000}"/>
    <cellStyle name="Normal 4 3 3 3 4 2 2 2" xfId="16567" xr:uid="{2C25A94A-42EC-4852-B949-6435BB99CE35}"/>
    <cellStyle name="Normal 4 3 3 3 4 2 3" xfId="12349" xr:uid="{31EE801C-AC78-4967-9E93-D017359CBE62}"/>
    <cellStyle name="Normal 4 3 3 3 4 3" xfId="5993" xr:uid="{00000000-0005-0000-0000-000091140000}"/>
    <cellStyle name="Normal 4 3 3 3 4 3 2" xfId="14422" xr:uid="{33D32B06-16DD-478E-B884-53184936006D}"/>
    <cellStyle name="Normal 4 3 3 3 4 4" xfId="10204" xr:uid="{660E0412-90C9-416D-9E89-56EF26B7ACA1}"/>
    <cellStyle name="Normal 4 3 3 3 5" xfId="2098" xr:uid="{00000000-0005-0000-0000-000092140000}"/>
    <cellStyle name="Normal 4 3 3 3 5 2" xfId="4327" xr:uid="{00000000-0005-0000-0000-000093140000}"/>
    <cellStyle name="Normal 4 3 3 3 5 2 2" xfId="8551" xr:uid="{00000000-0005-0000-0000-000094140000}"/>
    <cellStyle name="Normal 4 3 3 3 5 2 2 2" xfId="16980" xr:uid="{1E85D6D1-52C2-4425-B417-2101AE07CBA5}"/>
    <cellStyle name="Normal 4 3 3 3 5 2 3" xfId="12762" xr:uid="{45E99469-539C-492C-B52A-2E08456DD011}"/>
    <cellStyle name="Normal 4 3 3 3 5 3" xfId="6406" xr:uid="{00000000-0005-0000-0000-000095140000}"/>
    <cellStyle name="Normal 4 3 3 3 5 3 2" xfId="14835" xr:uid="{05C3F657-A116-4C42-8FB3-097C4AA12907}"/>
    <cellStyle name="Normal 4 3 3 3 5 4" xfId="10617" xr:uid="{1849AD0B-DAFD-4D2B-BA3D-627081429936}"/>
    <cellStyle name="Normal 4 3 3 3 6" xfId="2534" xr:uid="{00000000-0005-0000-0000-000096140000}"/>
    <cellStyle name="Normal 4 3 3 3 6 2" xfId="6819" xr:uid="{00000000-0005-0000-0000-000097140000}"/>
    <cellStyle name="Normal 4 3 3 3 6 2 2" xfId="15248" xr:uid="{379A2330-4C0A-44A9-8CC5-4F86D926643C}"/>
    <cellStyle name="Normal 4 3 3 3 6 3" xfId="11030" xr:uid="{700272C2-7A79-4B92-9803-4E3C6892F58D}"/>
    <cellStyle name="Normal 4 3 3 3 7" xfId="4754" xr:uid="{00000000-0005-0000-0000-000098140000}"/>
    <cellStyle name="Normal 4 3 3 3 7 2" xfId="13183" xr:uid="{0878EDF5-45F9-4909-B88E-E89CA4E69416}"/>
    <cellStyle name="Normal 4 3 3 3 8" xfId="8965" xr:uid="{10D0B9CD-5AC4-439D-94CB-03C7B0786CDD}"/>
    <cellStyle name="Normal 4 3 3 4" xfId="850" xr:uid="{00000000-0005-0000-0000-000099140000}"/>
    <cellStyle name="Normal 4 3 3 4 2" xfId="3085" xr:uid="{00000000-0005-0000-0000-00009A140000}"/>
    <cellStyle name="Normal 4 3 3 4 2 2" xfId="7309" xr:uid="{00000000-0005-0000-0000-00009B140000}"/>
    <cellStyle name="Normal 4 3 3 4 2 2 2" xfId="15738" xr:uid="{401586DE-5259-444D-888A-C14CD6A25F1C}"/>
    <cellStyle name="Normal 4 3 3 4 2 3" xfId="11520" xr:uid="{CD221D64-D629-406B-8A25-03C81BDB7C97}"/>
    <cellStyle name="Normal 4 3 3 4 3" xfId="5164" xr:uid="{00000000-0005-0000-0000-00009C140000}"/>
    <cellStyle name="Normal 4 3 3 4 3 2" xfId="13593" xr:uid="{C5F3B107-F480-451B-ADCE-25AC013C62F6}"/>
    <cellStyle name="Normal 4 3 3 4 4" xfId="9375" xr:uid="{64A53D1E-05D2-4303-8BA0-8DC657F37257}"/>
    <cellStyle name="Normal 4 3 3 5" xfId="1268" xr:uid="{00000000-0005-0000-0000-00009D140000}"/>
    <cellStyle name="Normal 4 3 3 5 2" xfId="3498" xr:uid="{00000000-0005-0000-0000-00009E140000}"/>
    <cellStyle name="Normal 4 3 3 5 2 2" xfId="7722" xr:uid="{00000000-0005-0000-0000-00009F140000}"/>
    <cellStyle name="Normal 4 3 3 5 2 2 2" xfId="16151" xr:uid="{6E0802F2-46DF-4DF7-9E94-7635AACEF217}"/>
    <cellStyle name="Normal 4 3 3 5 2 3" xfId="11933" xr:uid="{9959B8F3-4C73-4CB7-922F-5BCB885CE9A9}"/>
    <cellStyle name="Normal 4 3 3 5 3" xfId="5577" xr:uid="{00000000-0005-0000-0000-0000A0140000}"/>
    <cellStyle name="Normal 4 3 3 5 3 2" xfId="14006" xr:uid="{4962A1FF-FB39-465A-8BDF-F8001524BEAF}"/>
    <cellStyle name="Normal 4 3 3 5 4" xfId="9788" xr:uid="{48E3C0E3-6D03-4258-945E-7230DCA1814B}"/>
    <cellStyle name="Normal 4 3 3 6" xfId="1681" xr:uid="{00000000-0005-0000-0000-0000A1140000}"/>
    <cellStyle name="Normal 4 3 3 6 2" xfId="3911" xr:uid="{00000000-0005-0000-0000-0000A2140000}"/>
    <cellStyle name="Normal 4 3 3 6 2 2" xfId="8135" xr:uid="{00000000-0005-0000-0000-0000A3140000}"/>
    <cellStyle name="Normal 4 3 3 6 2 2 2" xfId="16564" xr:uid="{53AC9EDC-A271-4833-8B60-6410A50D05BF}"/>
    <cellStyle name="Normal 4 3 3 6 2 3" xfId="12346" xr:uid="{F146F1AB-F082-4D93-9A1E-F0EB555FF9CF}"/>
    <cellStyle name="Normal 4 3 3 6 3" xfId="5990" xr:uid="{00000000-0005-0000-0000-0000A4140000}"/>
    <cellStyle name="Normal 4 3 3 6 3 2" xfId="14419" xr:uid="{12654108-5D0A-445B-880E-F8FB9DBD8FCA}"/>
    <cellStyle name="Normal 4 3 3 6 4" xfId="10201" xr:uid="{69272267-7640-45F2-A32E-9D61BCA91B3C}"/>
    <cellStyle name="Normal 4 3 3 7" xfId="2095" xr:uid="{00000000-0005-0000-0000-0000A5140000}"/>
    <cellStyle name="Normal 4 3 3 7 2" xfId="4324" xr:uid="{00000000-0005-0000-0000-0000A6140000}"/>
    <cellStyle name="Normal 4 3 3 7 2 2" xfId="8548" xr:uid="{00000000-0005-0000-0000-0000A7140000}"/>
    <cellStyle name="Normal 4 3 3 7 2 2 2" xfId="16977" xr:uid="{87DEB6D0-4A15-49F1-96C9-96719F277F0A}"/>
    <cellStyle name="Normal 4 3 3 7 2 3" xfId="12759" xr:uid="{E58D9D47-C93E-4C06-B6CF-394A65679974}"/>
    <cellStyle name="Normal 4 3 3 7 3" xfId="6403" xr:uid="{00000000-0005-0000-0000-0000A8140000}"/>
    <cellStyle name="Normal 4 3 3 7 3 2" xfId="14832" xr:uid="{4F442197-9F07-4E37-A5C1-775CFAF7FB9D}"/>
    <cellStyle name="Normal 4 3 3 7 4" xfId="10614" xr:uid="{7CD38DD3-D2BF-46B7-8597-00E6DBD12A21}"/>
    <cellStyle name="Normal 4 3 3 8" xfId="2531" xr:uid="{00000000-0005-0000-0000-0000A9140000}"/>
    <cellStyle name="Normal 4 3 3 8 2" xfId="6816" xr:uid="{00000000-0005-0000-0000-0000AA140000}"/>
    <cellStyle name="Normal 4 3 3 8 2 2" xfId="15245" xr:uid="{C21E10F1-BE03-4AF2-BD94-628847F140AE}"/>
    <cellStyle name="Normal 4 3 3 8 3" xfId="11027" xr:uid="{55A86D83-9CE2-45D0-A51A-39B9DFAB4832}"/>
    <cellStyle name="Normal 4 3 3 9" xfId="4751" xr:uid="{00000000-0005-0000-0000-0000AB140000}"/>
    <cellStyle name="Normal 4 3 3 9 2" xfId="13180" xr:uid="{FFA4CF13-6B65-4ABD-A393-FF23D99AD1B1}"/>
    <cellStyle name="Normal 4 3 4" xfId="843" xr:uid="{00000000-0005-0000-0000-0000AC140000}"/>
    <cellStyle name="Normal 4 3 4 2" xfId="3080" xr:uid="{00000000-0005-0000-0000-0000AD140000}"/>
    <cellStyle name="Normal 4 3 4 2 2" xfId="7304" xr:uid="{00000000-0005-0000-0000-0000AE140000}"/>
    <cellStyle name="Normal 4 3 4 2 2 2" xfId="15733" xr:uid="{D4022D58-C4D4-4114-9385-7A5356E5C24F}"/>
    <cellStyle name="Normal 4 3 4 2 3" xfId="11515" xr:uid="{EE037CE5-6E05-49C0-90AB-668255B83911}"/>
    <cellStyle name="Normal 4 3 4 3" xfId="5159" xr:uid="{00000000-0005-0000-0000-0000AF140000}"/>
    <cellStyle name="Normal 4 3 4 3 2" xfId="13588" xr:uid="{05BE321E-DE49-4697-82B6-33C600E1562F}"/>
    <cellStyle name="Normal 4 3 4 4" xfId="9370" xr:uid="{6D7E5340-8322-47FA-A8B4-3736945E8F16}"/>
    <cellStyle name="Normal 4 3 5" xfId="1263" xr:uid="{00000000-0005-0000-0000-0000B0140000}"/>
    <cellStyle name="Normal 4 3 5 2" xfId="3493" xr:uid="{00000000-0005-0000-0000-0000B1140000}"/>
    <cellStyle name="Normal 4 3 5 2 2" xfId="7717" xr:uid="{00000000-0005-0000-0000-0000B2140000}"/>
    <cellStyle name="Normal 4 3 5 2 2 2" xfId="16146" xr:uid="{AABE3BC8-EB02-4A2C-A3A1-6B4E0241B259}"/>
    <cellStyle name="Normal 4 3 5 2 3" xfId="11928" xr:uid="{F2D089F9-2A9E-40F6-8AD8-FA3FF7B1C53B}"/>
    <cellStyle name="Normal 4 3 5 3" xfId="5572" xr:uid="{00000000-0005-0000-0000-0000B3140000}"/>
    <cellStyle name="Normal 4 3 5 3 2" xfId="14001" xr:uid="{D4D87B07-AF2C-4048-B455-B920181B60BD}"/>
    <cellStyle name="Normal 4 3 5 4" xfId="9783" xr:uid="{CFFCD6BE-4248-4ADB-9D00-FCCDCDC6ABC4}"/>
    <cellStyle name="Normal 4 3 6" xfId="1676" xr:uid="{00000000-0005-0000-0000-0000B4140000}"/>
    <cellStyle name="Normal 4 3 6 2" xfId="3906" xr:uid="{00000000-0005-0000-0000-0000B5140000}"/>
    <cellStyle name="Normal 4 3 6 2 2" xfId="8130" xr:uid="{00000000-0005-0000-0000-0000B6140000}"/>
    <cellStyle name="Normal 4 3 6 2 2 2" xfId="16559" xr:uid="{52D6A854-5981-41ED-93C6-27BFF7210852}"/>
    <cellStyle name="Normal 4 3 6 2 3" xfId="12341" xr:uid="{2D0275D6-AE03-4ED4-9865-119757419271}"/>
    <cellStyle name="Normal 4 3 6 3" xfId="5985" xr:uid="{00000000-0005-0000-0000-0000B7140000}"/>
    <cellStyle name="Normal 4 3 6 3 2" xfId="14414" xr:uid="{6568109A-7CD0-4D27-84A8-63E5D8CB6F68}"/>
    <cellStyle name="Normal 4 3 6 4" xfId="10196" xr:uid="{217A32B9-FFBF-4E3B-B2FD-3F7C2BB5D683}"/>
    <cellStyle name="Normal 4 3 7" xfId="2090" xr:uid="{00000000-0005-0000-0000-0000B8140000}"/>
    <cellStyle name="Normal 4 3 7 2" xfId="4319" xr:uid="{00000000-0005-0000-0000-0000B9140000}"/>
    <cellStyle name="Normal 4 3 7 2 2" xfId="8543" xr:uid="{00000000-0005-0000-0000-0000BA140000}"/>
    <cellStyle name="Normal 4 3 7 2 2 2" xfId="16972" xr:uid="{307216FF-76EF-4DF9-AB63-44D2E07CB091}"/>
    <cellStyle name="Normal 4 3 7 2 3" xfId="12754" xr:uid="{B949C0EE-AF0B-4606-9007-77CC297E0576}"/>
    <cellStyle name="Normal 4 3 7 3" xfId="6398" xr:uid="{00000000-0005-0000-0000-0000BB140000}"/>
    <cellStyle name="Normal 4 3 7 3 2" xfId="14827" xr:uid="{41D030F3-86A2-453C-8565-89525EE7085D}"/>
    <cellStyle name="Normal 4 3 7 4" xfId="10609" xr:uid="{ADEACA94-B57B-4977-9F7C-523429E8EA53}"/>
    <cellStyle name="Normal 4 3 8" xfId="2526" xr:uid="{00000000-0005-0000-0000-0000BC140000}"/>
    <cellStyle name="Normal 4 3 8 2" xfId="6811" xr:uid="{00000000-0005-0000-0000-0000BD140000}"/>
    <cellStyle name="Normal 4 3 8 2 2" xfId="15240" xr:uid="{F5D2CA28-5200-4DC9-A7BC-73955A30C6A6}"/>
    <cellStyle name="Normal 4 3 8 3" xfId="11022" xr:uid="{A9368A6F-EDAA-46B4-A788-43EB4372F10A}"/>
    <cellStyle name="Normal 4 3 9" xfId="4746" xr:uid="{00000000-0005-0000-0000-0000BE140000}"/>
    <cellStyle name="Normal 4 3 9 2" xfId="13175" xr:uid="{8476F2D5-DC43-4BAC-A92E-874928597768}"/>
    <cellStyle name="Normal 4 4" xfId="378" xr:uid="{00000000-0005-0000-0000-0000BF140000}"/>
    <cellStyle name="Normal 4 4 10" xfId="2535" xr:uid="{00000000-0005-0000-0000-0000C0140000}"/>
    <cellStyle name="Normal 4 4 10 2" xfId="6820" xr:uid="{00000000-0005-0000-0000-0000C1140000}"/>
    <cellStyle name="Normal 4 4 10 2 2" xfId="15249" xr:uid="{D6DF0A57-2A92-4F8C-8599-A4AAD06A797F}"/>
    <cellStyle name="Normal 4 4 10 3" xfId="11031" xr:uid="{667ABB06-C25D-4109-94B3-A0FB26756740}"/>
    <cellStyle name="Normal 4 4 11" xfId="4755" xr:uid="{00000000-0005-0000-0000-0000C2140000}"/>
    <cellStyle name="Normal 4 4 11 2" xfId="13184" xr:uid="{12317C94-8D58-4EB0-9718-DA2486049A22}"/>
    <cellStyle name="Normal 4 4 12" xfId="8966" xr:uid="{F3F29544-E7A6-40F0-8610-925A2A4D6435}"/>
    <cellStyle name="Normal 4 4 2" xfId="379" xr:uid="{00000000-0005-0000-0000-0000C3140000}"/>
    <cellStyle name="Normal 4 4 2 10" xfId="4756" xr:uid="{00000000-0005-0000-0000-0000C4140000}"/>
    <cellStyle name="Normal 4 4 2 10 2" xfId="13185" xr:uid="{E12302BA-33AC-4BA9-BB28-BCDA60730ABA}"/>
    <cellStyle name="Normal 4 4 2 11" xfId="8967" xr:uid="{D4FDBB80-497E-4B48-A69D-F00A3EDB363F}"/>
    <cellStyle name="Normal 4 4 2 2" xfId="380" xr:uid="{00000000-0005-0000-0000-0000C5140000}"/>
    <cellStyle name="Normal 4 4 2 2 10" xfId="8968" xr:uid="{A292748E-9A40-4225-9BB2-C989672E5CD5}"/>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2 2" xfId="15746" xr:uid="{4D7A8005-4ABF-4F8E-A508-BB4DA07DEA8B}"/>
    <cellStyle name="Normal 4 4 2 2 2 2 2 2 3" xfId="11528" xr:uid="{D8C41597-5F11-4421-8442-FD814D4D6327}"/>
    <cellStyle name="Normal 4 4 2 2 2 2 2 3" xfId="5172" xr:uid="{00000000-0005-0000-0000-0000CB140000}"/>
    <cellStyle name="Normal 4 4 2 2 2 2 2 3 2" xfId="13601" xr:uid="{964FC270-C516-4178-8F0A-5CD1F7C00523}"/>
    <cellStyle name="Normal 4 4 2 2 2 2 2 4" xfId="9383" xr:uid="{3463A722-FDEE-490D-A301-C67A6CDDE684}"/>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2 2" xfId="16159" xr:uid="{998D8E99-169C-4B3C-A2F1-5DD6DA3A0C87}"/>
    <cellStyle name="Normal 4 4 2 2 2 2 3 2 3" xfId="11941" xr:uid="{63FBFDEB-E33B-409F-AC43-8CDEA5A08039}"/>
    <cellStyle name="Normal 4 4 2 2 2 2 3 3" xfId="5585" xr:uid="{00000000-0005-0000-0000-0000CF140000}"/>
    <cellStyle name="Normal 4 4 2 2 2 2 3 3 2" xfId="14014" xr:uid="{4EDBA31B-FA75-4452-8FDA-A75B7EF7B501}"/>
    <cellStyle name="Normal 4 4 2 2 2 2 3 4" xfId="9796" xr:uid="{F4B4E856-766B-45DB-A970-E102723CA389}"/>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2 2" xfId="16572" xr:uid="{20DD3409-0BA8-4087-ACDC-AAB82371D22F}"/>
    <cellStyle name="Normal 4 4 2 2 2 2 4 2 3" xfId="12354" xr:uid="{1A1A6153-DE48-467E-8A7D-99675B82CBE4}"/>
    <cellStyle name="Normal 4 4 2 2 2 2 4 3" xfId="5998" xr:uid="{00000000-0005-0000-0000-0000D3140000}"/>
    <cellStyle name="Normal 4 4 2 2 2 2 4 3 2" xfId="14427" xr:uid="{8479B561-9FDC-442E-A8B0-D9539F5D981E}"/>
    <cellStyle name="Normal 4 4 2 2 2 2 4 4" xfId="10209" xr:uid="{28ACACB3-8998-4AFD-8F6D-9CFDE79B3A8C}"/>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2 2" xfId="16985" xr:uid="{E1813E7D-3118-4B93-B503-8614E64524A7}"/>
    <cellStyle name="Normal 4 4 2 2 2 2 5 2 3" xfId="12767" xr:uid="{132EC949-43C1-47C8-9D8E-94ACC2909971}"/>
    <cellStyle name="Normal 4 4 2 2 2 2 5 3" xfId="6411" xr:uid="{00000000-0005-0000-0000-0000D7140000}"/>
    <cellStyle name="Normal 4 4 2 2 2 2 5 3 2" xfId="14840" xr:uid="{64D4DE86-3316-4115-82CB-2E2B8E5DC547}"/>
    <cellStyle name="Normal 4 4 2 2 2 2 5 4" xfId="10622" xr:uid="{81B91819-0EEB-4337-B297-04B07F7D688D}"/>
    <cellStyle name="Normal 4 4 2 2 2 2 6" xfId="2539" xr:uid="{00000000-0005-0000-0000-0000D8140000}"/>
    <cellStyle name="Normal 4 4 2 2 2 2 6 2" xfId="6824" xr:uid="{00000000-0005-0000-0000-0000D9140000}"/>
    <cellStyle name="Normal 4 4 2 2 2 2 6 2 2" xfId="15253" xr:uid="{2B13C3ED-F388-4CF2-826D-06B538B954AD}"/>
    <cellStyle name="Normal 4 4 2 2 2 2 6 3" xfId="11035" xr:uid="{2770AB27-B386-49F9-B8BE-7200053672E4}"/>
    <cellStyle name="Normal 4 4 2 2 2 2 7" xfId="4759" xr:uid="{00000000-0005-0000-0000-0000DA140000}"/>
    <cellStyle name="Normal 4 4 2 2 2 2 7 2" xfId="13188" xr:uid="{BD7A9BF2-FBE5-4F25-812C-371FBC7ACFCE}"/>
    <cellStyle name="Normal 4 4 2 2 2 2 8" xfId="8970" xr:uid="{C02386AC-1ECA-434A-84F8-5B8C55DE8E9A}"/>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2 2" xfId="15745" xr:uid="{DF036F8D-9183-4880-9A2D-F14F62F85EAD}"/>
    <cellStyle name="Normal 4 4 2 2 2 3 2 3" xfId="11527" xr:uid="{53F5F21A-21C1-4C71-8232-9AB60EBBC4DA}"/>
    <cellStyle name="Normal 4 4 2 2 2 3 3" xfId="5171" xr:uid="{00000000-0005-0000-0000-0000DE140000}"/>
    <cellStyle name="Normal 4 4 2 2 2 3 3 2" xfId="13600" xr:uid="{22AE1ABC-BF9A-4076-8380-BA8F0241636C}"/>
    <cellStyle name="Normal 4 4 2 2 2 3 4" xfId="9382" xr:uid="{829AEFD6-3534-4306-B76C-AE9493450505}"/>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2 2" xfId="16158" xr:uid="{499F179E-AFC5-4259-AB27-207CFA6ADF37}"/>
    <cellStyle name="Normal 4 4 2 2 2 4 2 3" xfId="11940" xr:uid="{D1C11208-81FA-4E9F-9288-B70839831A2F}"/>
    <cellStyle name="Normal 4 4 2 2 2 4 3" xfId="5584" xr:uid="{00000000-0005-0000-0000-0000E2140000}"/>
    <cellStyle name="Normal 4 4 2 2 2 4 3 2" xfId="14013" xr:uid="{70397EE1-EAC6-4E41-A3AF-FB91DFF76EF7}"/>
    <cellStyle name="Normal 4 4 2 2 2 4 4" xfId="9795" xr:uid="{B5EA866E-265B-4C7C-BC9E-10C5C9067891}"/>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2 2" xfId="16571" xr:uid="{5EEC191B-340D-48EA-B00A-2AAE87F2672B}"/>
    <cellStyle name="Normal 4 4 2 2 2 5 2 3" xfId="12353" xr:uid="{EF17C0EA-88AB-4706-B425-DB37F359C46A}"/>
    <cellStyle name="Normal 4 4 2 2 2 5 3" xfId="5997" xr:uid="{00000000-0005-0000-0000-0000E6140000}"/>
    <cellStyle name="Normal 4 4 2 2 2 5 3 2" xfId="14426" xr:uid="{18BAD17A-99BC-4989-9BD3-00CE5B7EA3EC}"/>
    <cellStyle name="Normal 4 4 2 2 2 5 4" xfId="10208" xr:uid="{29F674F6-79B2-458D-9B37-7EDD388F1786}"/>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2 2" xfId="16984" xr:uid="{64934B63-0454-4ED2-A4C3-523E041CC96A}"/>
    <cellStyle name="Normal 4 4 2 2 2 6 2 3" xfId="12766" xr:uid="{8C0CE888-9D34-4793-BB77-1673D77FA56C}"/>
    <cellStyle name="Normal 4 4 2 2 2 6 3" xfId="6410" xr:uid="{00000000-0005-0000-0000-0000EA140000}"/>
    <cellStyle name="Normal 4 4 2 2 2 6 3 2" xfId="14839" xr:uid="{9A0AEAEB-E7DB-42B1-8A2A-DC91E24A4E2D}"/>
    <cellStyle name="Normal 4 4 2 2 2 6 4" xfId="10621" xr:uid="{8DB4883B-5528-4364-8A69-CC878F564A76}"/>
    <cellStyle name="Normal 4 4 2 2 2 7" xfId="2538" xr:uid="{00000000-0005-0000-0000-0000EB140000}"/>
    <cellStyle name="Normal 4 4 2 2 2 7 2" xfId="6823" xr:uid="{00000000-0005-0000-0000-0000EC140000}"/>
    <cellStyle name="Normal 4 4 2 2 2 7 2 2" xfId="15252" xr:uid="{7E57CBF1-F04A-4425-AE3F-7613D5FDC2EA}"/>
    <cellStyle name="Normal 4 4 2 2 2 7 3" xfId="11034" xr:uid="{316F8B58-D079-43E4-9C6F-BA88360EB6C8}"/>
    <cellStyle name="Normal 4 4 2 2 2 8" xfId="4758" xr:uid="{00000000-0005-0000-0000-0000ED140000}"/>
    <cellStyle name="Normal 4 4 2 2 2 8 2" xfId="13187" xr:uid="{8155523F-E0B9-4F9F-BC96-31D5B43485E9}"/>
    <cellStyle name="Normal 4 4 2 2 2 9" xfId="8969" xr:uid="{F0C5D155-4154-45B9-AB85-944B1C593332}"/>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2 2" xfId="15747" xr:uid="{08270B57-7133-48DB-93E6-D53C434617B7}"/>
    <cellStyle name="Normal 4 4 2 2 3 2 2 3" xfId="11529" xr:uid="{4957B847-372F-4D5F-B286-DEE5E3860A31}"/>
    <cellStyle name="Normal 4 4 2 2 3 2 3" xfId="5173" xr:uid="{00000000-0005-0000-0000-0000F2140000}"/>
    <cellStyle name="Normal 4 4 2 2 3 2 3 2" xfId="13602" xr:uid="{A8CF55DD-9EA2-4F14-933E-60375AB1680A}"/>
    <cellStyle name="Normal 4 4 2 2 3 2 4" xfId="9384" xr:uid="{E367FEF7-13DC-4C01-815E-223474BDF20E}"/>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2 2" xfId="16160" xr:uid="{BF2555C9-0EE1-4927-AA8A-39C1F8D02469}"/>
    <cellStyle name="Normal 4 4 2 2 3 3 2 3" xfId="11942" xr:uid="{4C10EB4F-076F-435B-BE65-B98EA4BC3C98}"/>
    <cellStyle name="Normal 4 4 2 2 3 3 3" xfId="5586" xr:uid="{00000000-0005-0000-0000-0000F6140000}"/>
    <cellStyle name="Normal 4 4 2 2 3 3 3 2" xfId="14015" xr:uid="{54EDD8A5-1184-4A21-8083-90D6BE72977A}"/>
    <cellStyle name="Normal 4 4 2 2 3 3 4" xfId="9797" xr:uid="{F606FC6E-856F-4EF0-AA4B-14F01758B7DD}"/>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2 2" xfId="16573" xr:uid="{6679A72B-F100-4355-83E1-F7F13AAB8BB5}"/>
    <cellStyle name="Normal 4 4 2 2 3 4 2 3" xfId="12355" xr:uid="{E1AA15AF-A0BE-46FE-8EA7-AF47960E4676}"/>
    <cellStyle name="Normal 4 4 2 2 3 4 3" xfId="5999" xr:uid="{00000000-0005-0000-0000-0000FA140000}"/>
    <cellStyle name="Normal 4 4 2 2 3 4 3 2" xfId="14428" xr:uid="{9E959F5C-06FC-4C98-9D8E-D893438632F1}"/>
    <cellStyle name="Normal 4 4 2 2 3 4 4" xfId="10210" xr:uid="{2BAED23C-9020-40D1-BA20-9C678806544C}"/>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2 2" xfId="16986" xr:uid="{7CC51AF4-84C8-41BF-92F4-1E56DB14974D}"/>
    <cellStyle name="Normal 4 4 2 2 3 5 2 3" xfId="12768" xr:uid="{E3501E31-6153-4AB3-B192-38F8EC9A07DA}"/>
    <cellStyle name="Normal 4 4 2 2 3 5 3" xfId="6412" xr:uid="{00000000-0005-0000-0000-0000FE140000}"/>
    <cellStyle name="Normal 4 4 2 2 3 5 3 2" xfId="14841" xr:uid="{CB96CDBE-DEF6-48EF-8EE2-06246D6F44B5}"/>
    <cellStyle name="Normal 4 4 2 2 3 5 4" xfId="10623" xr:uid="{CC72C769-FAA5-4107-B28E-6DC103FC7107}"/>
    <cellStyle name="Normal 4 4 2 2 3 6" xfId="2540" xr:uid="{00000000-0005-0000-0000-0000FF140000}"/>
    <cellStyle name="Normal 4 4 2 2 3 6 2" xfId="6825" xr:uid="{00000000-0005-0000-0000-000000150000}"/>
    <cellStyle name="Normal 4 4 2 2 3 6 2 2" xfId="15254" xr:uid="{11BA3077-EA9A-40F8-9A54-C24C0BE0BF90}"/>
    <cellStyle name="Normal 4 4 2 2 3 6 3" xfId="11036" xr:uid="{DB501B76-B3E1-48D9-8B0A-DEDF66D7808E}"/>
    <cellStyle name="Normal 4 4 2 2 3 7" xfId="4760" xr:uid="{00000000-0005-0000-0000-000001150000}"/>
    <cellStyle name="Normal 4 4 2 2 3 7 2" xfId="13189" xr:uid="{DCD1707F-4DD3-4BF6-8584-16A217152677}"/>
    <cellStyle name="Normal 4 4 2 2 3 8" xfId="8971" xr:uid="{F2879F03-729F-414D-97F6-2F7F9D6DC881}"/>
    <cellStyle name="Normal 4 4 2 2 4" xfId="856" xr:uid="{00000000-0005-0000-0000-000002150000}"/>
    <cellStyle name="Normal 4 4 2 2 4 2" xfId="3091" xr:uid="{00000000-0005-0000-0000-000003150000}"/>
    <cellStyle name="Normal 4 4 2 2 4 2 2" xfId="7315" xr:uid="{00000000-0005-0000-0000-000004150000}"/>
    <cellStyle name="Normal 4 4 2 2 4 2 2 2" xfId="15744" xr:uid="{1B272D4B-523B-48AC-B64F-9C742D1BFB56}"/>
    <cellStyle name="Normal 4 4 2 2 4 2 3" xfId="11526" xr:uid="{96764F1E-481B-4AB3-BFD2-073DCD561824}"/>
    <cellStyle name="Normal 4 4 2 2 4 3" xfId="5170" xr:uid="{00000000-0005-0000-0000-000005150000}"/>
    <cellStyle name="Normal 4 4 2 2 4 3 2" xfId="13599" xr:uid="{53D269F6-DE19-4138-896D-AE6417B508BD}"/>
    <cellStyle name="Normal 4 4 2 2 4 4" xfId="9381" xr:uid="{693CC2E0-5378-437F-93C8-FD0F420D50E6}"/>
    <cellStyle name="Normal 4 4 2 2 5" xfId="1274" xr:uid="{00000000-0005-0000-0000-000006150000}"/>
    <cellStyle name="Normal 4 4 2 2 5 2" xfId="3504" xr:uid="{00000000-0005-0000-0000-000007150000}"/>
    <cellStyle name="Normal 4 4 2 2 5 2 2" xfId="7728" xr:uid="{00000000-0005-0000-0000-000008150000}"/>
    <cellStyle name="Normal 4 4 2 2 5 2 2 2" xfId="16157" xr:uid="{35AB7624-DF0B-41AD-B210-722524CEF5ED}"/>
    <cellStyle name="Normal 4 4 2 2 5 2 3" xfId="11939" xr:uid="{A07366F4-9AC2-4FC2-8359-F45446F86619}"/>
    <cellStyle name="Normal 4 4 2 2 5 3" xfId="5583" xr:uid="{00000000-0005-0000-0000-000009150000}"/>
    <cellStyle name="Normal 4 4 2 2 5 3 2" xfId="14012" xr:uid="{E61C1B68-195E-4EC3-A165-0BA0814983E4}"/>
    <cellStyle name="Normal 4 4 2 2 5 4" xfId="9794" xr:uid="{46712F31-E97C-4A8A-878F-E421B125D253}"/>
    <cellStyle name="Normal 4 4 2 2 6" xfId="1687" xr:uid="{00000000-0005-0000-0000-00000A150000}"/>
    <cellStyle name="Normal 4 4 2 2 6 2" xfId="3917" xr:uid="{00000000-0005-0000-0000-00000B150000}"/>
    <cellStyle name="Normal 4 4 2 2 6 2 2" xfId="8141" xr:uid="{00000000-0005-0000-0000-00000C150000}"/>
    <cellStyle name="Normal 4 4 2 2 6 2 2 2" xfId="16570" xr:uid="{50E68353-74E8-44F5-8DFF-F40B45317BB1}"/>
    <cellStyle name="Normal 4 4 2 2 6 2 3" xfId="12352" xr:uid="{86BCC8F4-E233-467C-B0D9-0D789E6E6D9D}"/>
    <cellStyle name="Normal 4 4 2 2 6 3" xfId="5996" xr:uid="{00000000-0005-0000-0000-00000D150000}"/>
    <cellStyle name="Normal 4 4 2 2 6 3 2" xfId="14425" xr:uid="{753213CA-39D2-406C-ADA3-B0751F5F1B70}"/>
    <cellStyle name="Normal 4 4 2 2 6 4" xfId="10207" xr:uid="{D58B65D4-B659-4EF1-B235-49793F7280A6}"/>
    <cellStyle name="Normal 4 4 2 2 7" xfId="2101" xr:uid="{00000000-0005-0000-0000-00000E150000}"/>
    <cellStyle name="Normal 4 4 2 2 7 2" xfId="4330" xr:uid="{00000000-0005-0000-0000-00000F150000}"/>
    <cellStyle name="Normal 4 4 2 2 7 2 2" xfId="8554" xr:uid="{00000000-0005-0000-0000-000010150000}"/>
    <cellStyle name="Normal 4 4 2 2 7 2 2 2" xfId="16983" xr:uid="{717B9E62-19E9-4884-8A45-8B074ABD2B30}"/>
    <cellStyle name="Normal 4 4 2 2 7 2 3" xfId="12765" xr:uid="{039E8950-2FBB-48C0-AE83-D81285E4D931}"/>
    <cellStyle name="Normal 4 4 2 2 7 3" xfId="6409" xr:uid="{00000000-0005-0000-0000-000011150000}"/>
    <cellStyle name="Normal 4 4 2 2 7 3 2" xfId="14838" xr:uid="{FCDF75C5-9C2E-46C3-A66D-EC7549B31DB7}"/>
    <cellStyle name="Normal 4 4 2 2 7 4" xfId="10620" xr:uid="{2D6C4FB3-E138-40A6-A7E1-8E645C6E4F4C}"/>
    <cellStyle name="Normal 4 4 2 2 8" xfId="2537" xr:uid="{00000000-0005-0000-0000-000012150000}"/>
    <cellStyle name="Normal 4 4 2 2 8 2" xfId="6822" xr:uid="{00000000-0005-0000-0000-000013150000}"/>
    <cellStyle name="Normal 4 4 2 2 8 2 2" xfId="15251" xr:uid="{B0DD07EC-150C-4806-BA84-AC954E60FBEF}"/>
    <cellStyle name="Normal 4 4 2 2 8 3" xfId="11033" xr:uid="{308B96EB-40A0-4B10-842F-64AAFD1629B3}"/>
    <cellStyle name="Normal 4 4 2 2 9" xfId="4757" xr:uid="{00000000-0005-0000-0000-000014150000}"/>
    <cellStyle name="Normal 4 4 2 2 9 2" xfId="13186" xr:uid="{811AF7A0-D94E-49C0-9121-82CDF25A1B14}"/>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2 2" xfId="15749" xr:uid="{B5B5442C-1694-4F35-8C01-327FB2C6698E}"/>
    <cellStyle name="Normal 4 4 2 3 2 2 2 3" xfId="11531" xr:uid="{3BA8A6D9-6A94-4267-93FB-13DEEF2CD20B}"/>
    <cellStyle name="Normal 4 4 2 3 2 2 3" xfId="5175" xr:uid="{00000000-0005-0000-0000-00001A150000}"/>
    <cellStyle name="Normal 4 4 2 3 2 2 3 2" xfId="13604" xr:uid="{7B00B307-E7EA-448E-80C2-243D8E356FBE}"/>
    <cellStyle name="Normal 4 4 2 3 2 2 4" xfId="9386" xr:uid="{C8D6A5EC-F4F7-4EED-80EE-1AADBCC5D193}"/>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2 2" xfId="16162" xr:uid="{459C7920-F35F-43E7-8748-00B866D58059}"/>
    <cellStyle name="Normal 4 4 2 3 2 3 2 3" xfId="11944" xr:uid="{8DE9405E-45E6-446D-AD10-4258C9F85C63}"/>
    <cellStyle name="Normal 4 4 2 3 2 3 3" xfId="5588" xr:uid="{00000000-0005-0000-0000-00001E150000}"/>
    <cellStyle name="Normal 4 4 2 3 2 3 3 2" xfId="14017" xr:uid="{D64685E0-E9C7-4DA8-98B4-1F77BFDF6A31}"/>
    <cellStyle name="Normal 4 4 2 3 2 3 4" xfId="9799" xr:uid="{D4C02B18-C647-4E76-AE39-14957A174E09}"/>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2 2" xfId="16575" xr:uid="{6434CED4-D02E-481F-985C-E11673024DD8}"/>
    <cellStyle name="Normal 4 4 2 3 2 4 2 3" xfId="12357" xr:uid="{CC3E51CD-C7E5-4D49-A8D8-239313005436}"/>
    <cellStyle name="Normal 4 4 2 3 2 4 3" xfId="6001" xr:uid="{00000000-0005-0000-0000-000022150000}"/>
    <cellStyle name="Normal 4 4 2 3 2 4 3 2" xfId="14430" xr:uid="{0047A8C4-EE40-4B49-9C7E-D5CC4E468B35}"/>
    <cellStyle name="Normal 4 4 2 3 2 4 4" xfId="10212" xr:uid="{C3BE49EC-D539-4910-9DC3-EA78957FD3A8}"/>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2 2" xfId="16988" xr:uid="{2C618A9D-6EE1-4E3E-B5B8-FA7D787839F7}"/>
    <cellStyle name="Normal 4 4 2 3 2 5 2 3" xfId="12770" xr:uid="{2C37197A-6416-4FFD-A424-B4A5D42CBB65}"/>
    <cellStyle name="Normal 4 4 2 3 2 5 3" xfId="6414" xr:uid="{00000000-0005-0000-0000-000026150000}"/>
    <cellStyle name="Normal 4 4 2 3 2 5 3 2" xfId="14843" xr:uid="{CCDAC4CE-11FD-478D-AF48-60B87D6E8CC9}"/>
    <cellStyle name="Normal 4 4 2 3 2 5 4" xfId="10625" xr:uid="{2FC6DF87-4382-46B6-876F-05D1AD26530B}"/>
    <cellStyle name="Normal 4 4 2 3 2 6" xfId="2542" xr:uid="{00000000-0005-0000-0000-000027150000}"/>
    <cellStyle name="Normal 4 4 2 3 2 6 2" xfId="6827" xr:uid="{00000000-0005-0000-0000-000028150000}"/>
    <cellStyle name="Normal 4 4 2 3 2 6 2 2" xfId="15256" xr:uid="{E49BBF52-D33B-4606-B59F-FC834A055E01}"/>
    <cellStyle name="Normal 4 4 2 3 2 6 3" xfId="11038" xr:uid="{04F53486-3AFF-4DCB-B68F-56C10E02E025}"/>
    <cellStyle name="Normal 4 4 2 3 2 7" xfId="4762" xr:uid="{00000000-0005-0000-0000-000029150000}"/>
    <cellStyle name="Normal 4 4 2 3 2 7 2" xfId="13191" xr:uid="{A35CB593-61A5-421A-BFCC-98000CC7C7F2}"/>
    <cellStyle name="Normal 4 4 2 3 2 8" xfId="8973" xr:uid="{332F3708-53A3-425A-83EE-0C10D73B5D0C}"/>
    <cellStyle name="Normal 4 4 2 3 3" xfId="860" xr:uid="{00000000-0005-0000-0000-00002A150000}"/>
    <cellStyle name="Normal 4 4 2 3 3 2" xfId="3095" xr:uid="{00000000-0005-0000-0000-00002B150000}"/>
    <cellStyle name="Normal 4 4 2 3 3 2 2" xfId="7319" xr:uid="{00000000-0005-0000-0000-00002C150000}"/>
    <cellStyle name="Normal 4 4 2 3 3 2 2 2" xfId="15748" xr:uid="{3A3CB8E4-539D-454F-A720-E85932ADB064}"/>
    <cellStyle name="Normal 4 4 2 3 3 2 3" xfId="11530" xr:uid="{FA04D5BA-0261-451E-9C02-3ABE2E247CA5}"/>
    <cellStyle name="Normal 4 4 2 3 3 3" xfId="5174" xr:uid="{00000000-0005-0000-0000-00002D150000}"/>
    <cellStyle name="Normal 4 4 2 3 3 3 2" xfId="13603" xr:uid="{A5DC0CA7-8041-4C18-A6FA-BA2AB59B7764}"/>
    <cellStyle name="Normal 4 4 2 3 3 4" xfId="9385" xr:uid="{0FE43A4D-AAD6-4071-8085-0C767979206E}"/>
    <cellStyle name="Normal 4 4 2 3 4" xfId="1278" xr:uid="{00000000-0005-0000-0000-00002E150000}"/>
    <cellStyle name="Normal 4 4 2 3 4 2" xfId="3508" xr:uid="{00000000-0005-0000-0000-00002F150000}"/>
    <cellStyle name="Normal 4 4 2 3 4 2 2" xfId="7732" xr:uid="{00000000-0005-0000-0000-000030150000}"/>
    <cellStyle name="Normal 4 4 2 3 4 2 2 2" xfId="16161" xr:uid="{2F08E349-CD73-4C94-9E97-11FB53DB69A7}"/>
    <cellStyle name="Normal 4 4 2 3 4 2 3" xfId="11943" xr:uid="{91462A95-4783-4B15-8DDC-00C66EC3D4C7}"/>
    <cellStyle name="Normal 4 4 2 3 4 3" xfId="5587" xr:uid="{00000000-0005-0000-0000-000031150000}"/>
    <cellStyle name="Normal 4 4 2 3 4 3 2" xfId="14016" xr:uid="{0DF51826-DECD-47E4-865B-E59BECFCE842}"/>
    <cellStyle name="Normal 4 4 2 3 4 4" xfId="9798" xr:uid="{B0CC0C7C-8BB1-49BB-A1BC-E03FC986E6CF}"/>
    <cellStyle name="Normal 4 4 2 3 5" xfId="1691" xr:uid="{00000000-0005-0000-0000-000032150000}"/>
    <cellStyle name="Normal 4 4 2 3 5 2" xfId="3921" xr:uid="{00000000-0005-0000-0000-000033150000}"/>
    <cellStyle name="Normal 4 4 2 3 5 2 2" xfId="8145" xr:uid="{00000000-0005-0000-0000-000034150000}"/>
    <cellStyle name="Normal 4 4 2 3 5 2 2 2" xfId="16574" xr:uid="{DA01AF2A-179F-4724-A083-54F871846BE4}"/>
    <cellStyle name="Normal 4 4 2 3 5 2 3" xfId="12356" xr:uid="{275822E8-4D2B-419B-88C2-BFD39D8C1261}"/>
    <cellStyle name="Normal 4 4 2 3 5 3" xfId="6000" xr:uid="{00000000-0005-0000-0000-000035150000}"/>
    <cellStyle name="Normal 4 4 2 3 5 3 2" xfId="14429" xr:uid="{1BFE41A0-89E5-4EE8-9385-883918DCB335}"/>
    <cellStyle name="Normal 4 4 2 3 5 4" xfId="10211" xr:uid="{6688B369-C412-4491-AA93-ED16976AD2D1}"/>
    <cellStyle name="Normal 4 4 2 3 6" xfId="2105" xr:uid="{00000000-0005-0000-0000-000036150000}"/>
    <cellStyle name="Normal 4 4 2 3 6 2" xfId="4334" xr:uid="{00000000-0005-0000-0000-000037150000}"/>
    <cellStyle name="Normal 4 4 2 3 6 2 2" xfId="8558" xr:uid="{00000000-0005-0000-0000-000038150000}"/>
    <cellStyle name="Normal 4 4 2 3 6 2 2 2" xfId="16987" xr:uid="{F437136F-912B-4E21-9F05-9C6EEED45E39}"/>
    <cellStyle name="Normal 4 4 2 3 6 2 3" xfId="12769" xr:uid="{78ABA506-61FF-47CE-A513-5086532BEEA2}"/>
    <cellStyle name="Normal 4 4 2 3 6 3" xfId="6413" xr:uid="{00000000-0005-0000-0000-000039150000}"/>
    <cellStyle name="Normal 4 4 2 3 6 3 2" xfId="14842" xr:uid="{55962EF2-2C5F-4CB3-8E3C-1C24E4012B00}"/>
    <cellStyle name="Normal 4 4 2 3 6 4" xfId="10624" xr:uid="{1A955427-452A-4090-8EFD-4C743C5B98A2}"/>
    <cellStyle name="Normal 4 4 2 3 7" xfId="2541" xr:uid="{00000000-0005-0000-0000-00003A150000}"/>
    <cellStyle name="Normal 4 4 2 3 7 2" xfId="6826" xr:uid="{00000000-0005-0000-0000-00003B150000}"/>
    <cellStyle name="Normal 4 4 2 3 7 2 2" xfId="15255" xr:uid="{FD81460C-0E56-4B16-BE56-A73D71EB7918}"/>
    <cellStyle name="Normal 4 4 2 3 7 3" xfId="11037" xr:uid="{DEB11D68-7555-4A09-8B1F-F419DCC0B39B}"/>
    <cellStyle name="Normal 4 4 2 3 8" xfId="4761" xr:uid="{00000000-0005-0000-0000-00003C150000}"/>
    <cellStyle name="Normal 4 4 2 3 8 2" xfId="13190" xr:uid="{6E3346A2-D080-4570-800A-92042C8E371F}"/>
    <cellStyle name="Normal 4 4 2 3 9" xfId="8972" xr:uid="{4BA2CBDE-E3ED-489E-8400-12449FF776F3}"/>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2 2" xfId="15750" xr:uid="{B3A53B62-B0F3-4340-8435-31D7C464697A}"/>
    <cellStyle name="Normal 4 4 2 4 2 2 3" xfId="11532" xr:uid="{EE98B75A-F153-49D1-9060-8AE9CA112809}"/>
    <cellStyle name="Normal 4 4 2 4 2 3" xfId="5176" xr:uid="{00000000-0005-0000-0000-000041150000}"/>
    <cellStyle name="Normal 4 4 2 4 2 3 2" xfId="13605" xr:uid="{959275D1-BEA2-4196-BDED-C1AC082EF04D}"/>
    <cellStyle name="Normal 4 4 2 4 2 4" xfId="9387" xr:uid="{1CB2F97D-D0BA-467F-9D3B-251EE72E607A}"/>
    <cellStyle name="Normal 4 4 2 4 3" xfId="1280" xr:uid="{00000000-0005-0000-0000-000042150000}"/>
    <cellStyle name="Normal 4 4 2 4 3 2" xfId="3510" xr:uid="{00000000-0005-0000-0000-000043150000}"/>
    <cellStyle name="Normal 4 4 2 4 3 2 2" xfId="7734" xr:uid="{00000000-0005-0000-0000-000044150000}"/>
    <cellStyle name="Normal 4 4 2 4 3 2 2 2" xfId="16163" xr:uid="{F4DF54AE-7014-4857-92AE-071E1CE6DE18}"/>
    <cellStyle name="Normal 4 4 2 4 3 2 3" xfId="11945" xr:uid="{CFBFE327-F40B-4288-A277-62596B91E6A2}"/>
    <cellStyle name="Normal 4 4 2 4 3 3" xfId="5589" xr:uid="{00000000-0005-0000-0000-000045150000}"/>
    <cellStyle name="Normal 4 4 2 4 3 3 2" xfId="14018" xr:uid="{268BDAFD-6A3E-4A9C-A9BD-0C2D12CA7A88}"/>
    <cellStyle name="Normal 4 4 2 4 3 4" xfId="9800" xr:uid="{DDE80F84-B698-4931-BF4C-88C104BA4FBB}"/>
    <cellStyle name="Normal 4 4 2 4 4" xfId="1693" xr:uid="{00000000-0005-0000-0000-000046150000}"/>
    <cellStyle name="Normal 4 4 2 4 4 2" xfId="3923" xr:uid="{00000000-0005-0000-0000-000047150000}"/>
    <cellStyle name="Normal 4 4 2 4 4 2 2" xfId="8147" xr:uid="{00000000-0005-0000-0000-000048150000}"/>
    <cellStyle name="Normal 4 4 2 4 4 2 2 2" xfId="16576" xr:uid="{5A8EAA4A-320F-408B-A22D-EA58AFF9FA82}"/>
    <cellStyle name="Normal 4 4 2 4 4 2 3" xfId="12358" xr:uid="{781EC4E3-0E81-4DE9-BA09-918B5BB7C0DF}"/>
    <cellStyle name="Normal 4 4 2 4 4 3" xfId="6002" xr:uid="{00000000-0005-0000-0000-000049150000}"/>
    <cellStyle name="Normal 4 4 2 4 4 3 2" xfId="14431" xr:uid="{3BE37F34-811A-40F8-9D37-CDEB370AFB95}"/>
    <cellStyle name="Normal 4 4 2 4 4 4" xfId="10213" xr:uid="{7FE435E6-0EFA-4046-A4F5-79135BA773A4}"/>
    <cellStyle name="Normal 4 4 2 4 5" xfId="2107" xr:uid="{00000000-0005-0000-0000-00004A150000}"/>
    <cellStyle name="Normal 4 4 2 4 5 2" xfId="4336" xr:uid="{00000000-0005-0000-0000-00004B150000}"/>
    <cellStyle name="Normal 4 4 2 4 5 2 2" xfId="8560" xr:uid="{00000000-0005-0000-0000-00004C150000}"/>
    <cellStyle name="Normal 4 4 2 4 5 2 2 2" xfId="16989" xr:uid="{69CC4577-16A0-49C5-B83E-181F07352AB7}"/>
    <cellStyle name="Normal 4 4 2 4 5 2 3" xfId="12771" xr:uid="{2C7ED5D8-EFE3-4A3C-9436-5C27C43E686A}"/>
    <cellStyle name="Normal 4 4 2 4 5 3" xfId="6415" xr:uid="{00000000-0005-0000-0000-00004D150000}"/>
    <cellStyle name="Normal 4 4 2 4 5 3 2" xfId="14844" xr:uid="{A00E1E11-F57B-4A52-BA1F-75D2E42A918C}"/>
    <cellStyle name="Normal 4 4 2 4 5 4" xfId="10626" xr:uid="{57CB1145-B1FB-452A-8BF2-B79740ED4D2D}"/>
    <cellStyle name="Normal 4 4 2 4 6" xfId="2543" xr:uid="{00000000-0005-0000-0000-00004E150000}"/>
    <cellStyle name="Normal 4 4 2 4 6 2" xfId="6828" xr:uid="{00000000-0005-0000-0000-00004F150000}"/>
    <cellStyle name="Normal 4 4 2 4 6 2 2" xfId="15257" xr:uid="{9C39FA35-4D15-424B-8D3E-A4F44563B8B5}"/>
    <cellStyle name="Normal 4 4 2 4 6 3" xfId="11039" xr:uid="{7C84399C-B02D-4D53-B94B-B221B24FA922}"/>
    <cellStyle name="Normal 4 4 2 4 7" xfId="4763" xr:uid="{00000000-0005-0000-0000-000050150000}"/>
    <cellStyle name="Normal 4 4 2 4 7 2" xfId="13192" xr:uid="{F165961B-F4CE-43FF-803D-4F7DB85B51EA}"/>
    <cellStyle name="Normal 4 4 2 4 8" xfId="8974" xr:uid="{92311F8F-DE74-4BC8-8B44-E7D37F8B1723}"/>
    <cellStyle name="Normal 4 4 2 5" xfId="855" xr:uid="{00000000-0005-0000-0000-000051150000}"/>
    <cellStyle name="Normal 4 4 2 5 2" xfId="3090" xr:uid="{00000000-0005-0000-0000-000052150000}"/>
    <cellStyle name="Normal 4 4 2 5 2 2" xfId="7314" xr:uid="{00000000-0005-0000-0000-000053150000}"/>
    <cellStyle name="Normal 4 4 2 5 2 2 2" xfId="15743" xr:uid="{4AD5CD27-6741-4114-BADD-7286594F5842}"/>
    <cellStyle name="Normal 4 4 2 5 2 3" xfId="11525" xr:uid="{1A827537-B22F-4BA2-8AB9-D22B69B765AE}"/>
    <cellStyle name="Normal 4 4 2 5 3" xfId="5169" xr:uid="{00000000-0005-0000-0000-000054150000}"/>
    <cellStyle name="Normal 4 4 2 5 3 2" xfId="13598" xr:uid="{335F96C2-4F98-4647-A945-001E5C8E1C74}"/>
    <cellStyle name="Normal 4 4 2 5 4" xfId="9380" xr:uid="{14452609-35A4-4678-A461-B5A06527C916}"/>
    <cellStyle name="Normal 4 4 2 6" xfId="1273" xr:uid="{00000000-0005-0000-0000-000055150000}"/>
    <cellStyle name="Normal 4 4 2 6 2" xfId="3503" xr:uid="{00000000-0005-0000-0000-000056150000}"/>
    <cellStyle name="Normal 4 4 2 6 2 2" xfId="7727" xr:uid="{00000000-0005-0000-0000-000057150000}"/>
    <cellStyle name="Normal 4 4 2 6 2 2 2" xfId="16156" xr:uid="{0A8CB6BF-42E6-48B9-825C-811A288D4222}"/>
    <cellStyle name="Normal 4 4 2 6 2 3" xfId="11938" xr:uid="{C6CF27CE-8478-4266-997D-1B531B922679}"/>
    <cellStyle name="Normal 4 4 2 6 3" xfId="5582" xr:uid="{00000000-0005-0000-0000-000058150000}"/>
    <cellStyle name="Normal 4 4 2 6 3 2" xfId="14011" xr:uid="{9BE8B11D-3A38-4A0D-A091-2C42CF8542B8}"/>
    <cellStyle name="Normal 4 4 2 6 4" xfId="9793" xr:uid="{2FDFF5BE-FCD8-4CC4-AD00-D3EC125C51E3}"/>
    <cellStyle name="Normal 4 4 2 7" xfId="1686" xr:uid="{00000000-0005-0000-0000-000059150000}"/>
    <cellStyle name="Normal 4 4 2 7 2" xfId="3916" xr:uid="{00000000-0005-0000-0000-00005A150000}"/>
    <cellStyle name="Normal 4 4 2 7 2 2" xfId="8140" xr:uid="{00000000-0005-0000-0000-00005B150000}"/>
    <cellStyle name="Normal 4 4 2 7 2 2 2" xfId="16569" xr:uid="{6551A348-18A9-40AE-B877-A4AE7E1895A9}"/>
    <cellStyle name="Normal 4 4 2 7 2 3" xfId="12351" xr:uid="{A8A39434-2F84-4656-8891-0765C2B71E24}"/>
    <cellStyle name="Normal 4 4 2 7 3" xfId="5995" xr:uid="{00000000-0005-0000-0000-00005C150000}"/>
    <cellStyle name="Normal 4 4 2 7 3 2" xfId="14424" xr:uid="{D0057C8C-12B1-4F1A-960A-F41DF1ECFB4C}"/>
    <cellStyle name="Normal 4 4 2 7 4" xfId="10206" xr:uid="{6EA4BBF7-309B-44BC-A51F-DFCEE9CAEF60}"/>
    <cellStyle name="Normal 4 4 2 8" xfId="2100" xr:uid="{00000000-0005-0000-0000-00005D150000}"/>
    <cellStyle name="Normal 4 4 2 8 2" xfId="4329" xr:uid="{00000000-0005-0000-0000-00005E150000}"/>
    <cellStyle name="Normal 4 4 2 8 2 2" xfId="8553" xr:uid="{00000000-0005-0000-0000-00005F150000}"/>
    <cellStyle name="Normal 4 4 2 8 2 2 2" xfId="16982" xr:uid="{00F9D91C-7C29-4468-BAEB-F913FF0CC217}"/>
    <cellStyle name="Normal 4 4 2 8 2 3" xfId="12764" xr:uid="{7FE48918-700A-42E0-95DD-862D8BF08374}"/>
    <cellStyle name="Normal 4 4 2 8 3" xfId="6408" xr:uid="{00000000-0005-0000-0000-000060150000}"/>
    <cellStyle name="Normal 4 4 2 8 3 2" xfId="14837" xr:uid="{14445E32-5A7C-47E7-A734-9574690C7C6B}"/>
    <cellStyle name="Normal 4 4 2 8 4" xfId="10619" xr:uid="{CCFD8F73-253E-4EBA-9B9E-CAFA9DE3A2F9}"/>
    <cellStyle name="Normal 4 4 2 9" xfId="2536" xr:uid="{00000000-0005-0000-0000-000061150000}"/>
    <cellStyle name="Normal 4 4 2 9 2" xfId="6821" xr:uid="{00000000-0005-0000-0000-000062150000}"/>
    <cellStyle name="Normal 4 4 2 9 2 2" xfId="15250" xr:uid="{E8592036-6D1E-4B9B-87D7-5573EBEE43F9}"/>
    <cellStyle name="Normal 4 4 2 9 3" xfId="11032" xr:uid="{8856173D-E01F-42A7-8DC7-5FCA78470ECF}"/>
    <cellStyle name="Normal 4 4 3" xfId="387" xr:uid="{00000000-0005-0000-0000-000063150000}"/>
    <cellStyle name="Normal 4 4 3 10" xfId="8975" xr:uid="{75FD1E18-1C11-41BB-BB92-5A9F8A585713}"/>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2 2" xfId="15753" xr:uid="{3644684C-D2F3-488E-B43C-0C62A16A58E5}"/>
    <cellStyle name="Normal 4 4 3 2 2 2 2 3" xfId="11535" xr:uid="{1531EE18-21BB-44B4-ABE1-8A427FBFD3B1}"/>
    <cellStyle name="Normal 4 4 3 2 2 2 3" xfId="5179" xr:uid="{00000000-0005-0000-0000-000069150000}"/>
    <cellStyle name="Normal 4 4 3 2 2 2 3 2" xfId="13608" xr:uid="{B2E8756F-1E0F-4F2E-8722-E46418B61C7C}"/>
    <cellStyle name="Normal 4 4 3 2 2 2 4" xfId="9390" xr:uid="{D0B305CC-7353-4E5A-A211-B599F012BB31}"/>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2 2" xfId="16166" xr:uid="{12411C5D-9CC9-49CB-96CD-862ABE8553E7}"/>
    <cellStyle name="Normal 4 4 3 2 2 3 2 3" xfId="11948" xr:uid="{82F49169-321E-4EEC-A2A9-A396AA12EF63}"/>
    <cellStyle name="Normal 4 4 3 2 2 3 3" xfId="5592" xr:uid="{00000000-0005-0000-0000-00006D150000}"/>
    <cellStyle name="Normal 4 4 3 2 2 3 3 2" xfId="14021" xr:uid="{34873071-0D9D-49A8-AA73-99F6A029BB2C}"/>
    <cellStyle name="Normal 4 4 3 2 2 3 4" xfId="9803" xr:uid="{22FD652E-7BE4-47CF-BCEF-951AF3A23065}"/>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2 2" xfId="16579" xr:uid="{63755DE7-DBFE-4D60-973D-568993686253}"/>
    <cellStyle name="Normal 4 4 3 2 2 4 2 3" xfId="12361" xr:uid="{6EF855AB-B3B4-4990-8FE3-04D5F4B5B681}"/>
    <cellStyle name="Normal 4 4 3 2 2 4 3" xfId="6005" xr:uid="{00000000-0005-0000-0000-000071150000}"/>
    <cellStyle name="Normal 4 4 3 2 2 4 3 2" xfId="14434" xr:uid="{E1CB44B2-9D50-41EF-8689-770F897E4823}"/>
    <cellStyle name="Normal 4 4 3 2 2 4 4" xfId="10216" xr:uid="{00C14A2B-3E21-403B-B549-E0F6E6E1D771}"/>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2 2" xfId="16992" xr:uid="{713F3D08-CDC1-40CE-8734-E0F2286E9689}"/>
    <cellStyle name="Normal 4 4 3 2 2 5 2 3" xfId="12774" xr:uid="{B39A80EE-B0C1-4180-96DB-6D4328CC43CA}"/>
    <cellStyle name="Normal 4 4 3 2 2 5 3" xfId="6418" xr:uid="{00000000-0005-0000-0000-000075150000}"/>
    <cellStyle name="Normal 4 4 3 2 2 5 3 2" xfId="14847" xr:uid="{BE22802A-B966-49FD-A3A8-A55D1A88A289}"/>
    <cellStyle name="Normal 4 4 3 2 2 5 4" xfId="10629" xr:uid="{5EFC99DE-D433-472B-8476-FA2ACC473F2F}"/>
    <cellStyle name="Normal 4 4 3 2 2 6" xfId="2546" xr:uid="{00000000-0005-0000-0000-000076150000}"/>
    <cellStyle name="Normal 4 4 3 2 2 6 2" xfId="6831" xr:uid="{00000000-0005-0000-0000-000077150000}"/>
    <cellStyle name="Normal 4 4 3 2 2 6 2 2" xfId="15260" xr:uid="{A3D32777-A841-4259-8936-79AF3E7B9ECC}"/>
    <cellStyle name="Normal 4 4 3 2 2 6 3" xfId="11042" xr:uid="{336488F4-7B4F-4F01-A3FC-45BF8FECA770}"/>
    <cellStyle name="Normal 4 4 3 2 2 7" xfId="4766" xr:uid="{00000000-0005-0000-0000-000078150000}"/>
    <cellStyle name="Normal 4 4 3 2 2 7 2" xfId="13195" xr:uid="{9C0540B9-F073-4B16-9DDF-4F659B0D5873}"/>
    <cellStyle name="Normal 4 4 3 2 2 8" xfId="8977" xr:uid="{AAE396A1-40B1-4CD9-9D0E-8C6AE4DF7F74}"/>
    <cellStyle name="Normal 4 4 3 2 3" xfId="864" xr:uid="{00000000-0005-0000-0000-000079150000}"/>
    <cellStyle name="Normal 4 4 3 2 3 2" xfId="3099" xr:uid="{00000000-0005-0000-0000-00007A150000}"/>
    <cellStyle name="Normal 4 4 3 2 3 2 2" xfId="7323" xr:uid="{00000000-0005-0000-0000-00007B150000}"/>
    <cellStyle name="Normal 4 4 3 2 3 2 2 2" xfId="15752" xr:uid="{A52A0FA1-C2C3-43CB-B1CA-29EB9771435B}"/>
    <cellStyle name="Normal 4 4 3 2 3 2 3" xfId="11534" xr:uid="{4917E0B3-E762-4B30-AE3F-A339CDC47B51}"/>
    <cellStyle name="Normal 4 4 3 2 3 3" xfId="5178" xr:uid="{00000000-0005-0000-0000-00007C150000}"/>
    <cellStyle name="Normal 4 4 3 2 3 3 2" xfId="13607" xr:uid="{97FA1005-910C-4781-9A96-760518F68910}"/>
    <cellStyle name="Normal 4 4 3 2 3 4" xfId="9389" xr:uid="{B9B0918F-D201-452A-AA99-9A9F78D2575E}"/>
    <cellStyle name="Normal 4 4 3 2 4" xfId="1282" xr:uid="{00000000-0005-0000-0000-00007D150000}"/>
    <cellStyle name="Normal 4 4 3 2 4 2" xfId="3512" xr:uid="{00000000-0005-0000-0000-00007E150000}"/>
    <cellStyle name="Normal 4 4 3 2 4 2 2" xfId="7736" xr:uid="{00000000-0005-0000-0000-00007F150000}"/>
    <cellStyle name="Normal 4 4 3 2 4 2 2 2" xfId="16165" xr:uid="{09D59025-FA42-41BA-BD86-638D39F50EDA}"/>
    <cellStyle name="Normal 4 4 3 2 4 2 3" xfId="11947" xr:uid="{D5BDE93A-84CF-4F37-B28C-BB6A8820A1AE}"/>
    <cellStyle name="Normal 4 4 3 2 4 3" xfId="5591" xr:uid="{00000000-0005-0000-0000-000080150000}"/>
    <cellStyle name="Normal 4 4 3 2 4 3 2" xfId="14020" xr:uid="{412559C9-EE06-4D56-986F-FF750639DE61}"/>
    <cellStyle name="Normal 4 4 3 2 4 4" xfId="9802" xr:uid="{632B7B33-5063-4EBF-8771-D62FCDCF1E63}"/>
    <cellStyle name="Normal 4 4 3 2 5" xfId="1695" xr:uid="{00000000-0005-0000-0000-000081150000}"/>
    <cellStyle name="Normal 4 4 3 2 5 2" xfId="3925" xr:uid="{00000000-0005-0000-0000-000082150000}"/>
    <cellStyle name="Normal 4 4 3 2 5 2 2" xfId="8149" xr:uid="{00000000-0005-0000-0000-000083150000}"/>
    <cellStyle name="Normal 4 4 3 2 5 2 2 2" xfId="16578" xr:uid="{94A9624A-F762-43F9-9BF9-5AD69BEFF1BB}"/>
    <cellStyle name="Normal 4 4 3 2 5 2 3" xfId="12360" xr:uid="{23472467-0151-4A3B-BF36-1D21292096E6}"/>
    <cellStyle name="Normal 4 4 3 2 5 3" xfId="6004" xr:uid="{00000000-0005-0000-0000-000084150000}"/>
    <cellStyle name="Normal 4 4 3 2 5 3 2" xfId="14433" xr:uid="{A1977184-BBE6-47CA-8466-C814F5429D40}"/>
    <cellStyle name="Normal 4 4 3 2 5 4" xfId="10215" xr:uid="{7F026597-098E-492D-9E5C-D5FBE82C4603}"/>
    <cellStyle name="Normal 4 4 3 2 6" xfId="2109" xr:uid="{00000000-0005-0000-0000-000085150000}"/>
    <cellStyle name="Normal 4 4 3 2 6 2" xfId="4338" xr:uid="{00000000-0005-0000-0000-000086150000}"/>
    <cellStyle name="Normal 4 4 3 2 6 2 2" xfId="8562" xr:uid="{00000000-0005-0000-0000-000087150000}"/>
    <cellStyle name="Normal 4 4 3 2 6 2 2 2" xfId="16991" xr:uid="{69317C60-F246-4F9F-B20E-499E39E8ACF7}"/>
    <cellStyle name="Normal 4 4 3 2 6 2 3" xfId="12773" xr:uid="{71512F3E-A3C4-4AD8-8E90-F57E72EF0246}"/>
    <cellStyle name="Normal 4 4 3 2 6 3" xfId="6417" xr:uid="{00000000-0005-0000-0000-000088150000}"/>
    <cellStyle name="Normal 4 4 3 2 6 3 2" xfId="14846" xr:uid="{0D8C1CFB-2F2C-433F-85E2-9067C6034BE6}"/>
    <cellStyle name="Normal 4 4 3 2 6 4" xfId="10628" xr:uid="{F20ACE11-45C0-4061-8786-D9F000DA2362}"/>
    <cellStyle name="Normal 4 4 3 2 7" xfId="2545" xr:uid="{00000000-0005-0000-0000-000089150000}"/>
    <cellStyle name="Normal 4 4 3 2 7 2" xfId="6830" xr:uid="{00000000-0005-0000-0000-00008A150000}"/>
    <cellStyle name="Normal 4 4 3 2 7 2 2" xfId="15259" xr:uid="{D6BC9CB7-494B-4AC3-AA77-200A02C69D81}"/>
    <cellStyle name="Normal 4 4 3 2 7 3" xfId="11041" xr:uid="{BD2FFE76-3DE1-47F5-A159-8BAD3D410A15}"/>
    <cellStyle name="Normal 4 4 3 2 8" xfId="4765" xr:uid="{00000000-0005-0000-0000-00008B150000}"/>
    <cellStyle name="Normal 4 4 3 2 8 2" xfId="13194" xr:uid="{3BE830D3-5838-4F40-A69B-65625A14E02D}"/>
    <cellStyle name="Normal 4 4 3 2 9" xfId="8976" xr:uid="{EE1B93E4-9FF2-4276-8F46-C1C5D8E3907E}"/>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2 2" xfId="15754" xr:uid="{5179CD8D-8B5F-47ED-9F74-777849DE393C}"/>
    <cellStyle name="Normal 4 4 3 3 2 2 3" xfId="11536" xr:uid="{56E656DF-A5D6-44EE-BE03-B83191B14830}"/>
    <cellStyle name="Normal 4 4 3 3 2 3" xfId="5180" xr:uid="{00000000-0005-0000-0000-000090150000}"/>
    <cellStyle name="Normal 4 4 3 3 2 3 2" xfId="13609" xr:uid="{7AA8087A-5A58-415E-BEA2-3571C01F673E}"/>
    <cellStyle name="Normal 4 4 3 3 2 4" xfId="9391" xr:uid="{9014DD74-20DB-4058-85D9-70CB688C0AC4}"/>
    <cellStyle name="Normal 4 4 3 3 3" xfId="1284" xr:uid="{00000000-0005-0000-0000-000091150000}"/>
    <cellStyle name="Normal 4 4 3 3 3 2" xfId="3514" xr:uid="{00000000-0005-0000-0000-000092150000}"/>
    <cellStyle name="Normal 4 4 3 3 3 2 2" xfId="7738" xr:uid="{00000000-0005-0000-0000-000093150000}"/>
    <cellStyle name="Normal 4 4 3 3 3 2 2 2" xfId="16167" xr:uid="{7C4748FA-7AF0-4C7E-89B1-CE5E39AC692A}"/>
    <cellStyle name="Normal 4 4 3 3 3 2 3" xfId="11949" xr:uid="{78712766-6E38-4A4F-AEF3-418637072771}"/>
    <cellStyle name="Normal 4 4 3 3 3 3" xfId="5593" xr:uid="{00000000-0005-0000-0000-000094150000}"/>
    <cellStyle name="Normal 4 4 3 3 3 3 2" xfId="14022" xr:uid="{17FB1386-FFA2-4709-AB39-6CEF45250EC2}"/>
    <cellStyle name="Normal 4 4 3 3 3 4" xfId="9804" xr:uid="{EABFE74F-0D27-4A25-BD4C-4367CDC1D9D8}"/>
    <cellStyle name="Normal 4 4 3 3 4" xfId="1697" xr:uid="{00000000-0005-0000-0000-000095150000}"/>
    <cellStyle name="Normal 4 4 3 3 4 2" xfId="3927" xr:uid="{00000000-0005-0000-0000-000096150000}"/>
    <cellStyle name="Normal 4 4 3 3 4 2 2" xfId="8151" xr:uid="{00000000-0005-0000-0000-000097150000}"/>
    <cellStyle name="Normal 4 4 3 3 4 2 2 2" xfId="16580" xr:uid="{4CAFAFB1-031F-4FAE-8C5B-3910987565C5}"/>
    <cellStyle name="Normal 4 4 3 3 4 2 3" xfId="12362" xr:uid="{6D4E900E-4622-4042-9555-5423CDA0F021}"/>
    <cellStyle name="Normal 4 4 3 3 4 3" xfId="6006" xr:uid="{00000000-0005-0000-0000-000098150000}"/>
    <cellStyle name="Normal 4 4 3 3 4 3 2" xfId="14435" xr:uid="{4ACEF6F0-A60B-496C-84F5-00FF540C636A}"/>
    <cellStyle name="Normal 4 4 3 3 4 4" xfId="10217" xr:uid="{6E19B470-EFFC-4E8D-8B9E-9C6FD6473CE3}"/>
    <cellStyle name="Normal 4 4 3 3 5" xfId="2111" xr:uid="{00000000-0005-0000-0000-000099150000}"/>
    <cellStyle name="Normal 4 4 3 3 5 2" xfId="4340" xr:uid="{00000000-0005-0000-0000-00009A150000}"/>
    <cellStyle name="Normal 4 4 3 3 5 2 2" xfId="8564" xr:uid="{00000000-0005-0000-0000-00009B150000}"/>
    <cellStyle name="Normal 4 4 3 3 5 2 2 2" xfId="16993" xr:uid="{048923DF-FD50-4C3E-9FE4-77596ABC2DE3}"/>
    <cellStyle name="Normal 4 4 3 3 5 2 3" xfId="12775" xr:uid="{7DA30908-0307-4594-AC6F-4C9C6C7DCDFA}"/>
    <cellStyle name="Normal 4 4 3 3 5 3" xfId="6419" xr:uid="{00000000-0005-0000-0000-00009C150000}"/>
    <cellStyle name="Normal 4 4 3 3 5 3 2" xfId="14848" xr:uid="{046FAA70-3B69-48A9-896F-8B73169A1757}"/>
    <cellStyle name="Normal 4 4 3 3 5 4" xfId="10630" xr:uid="{F53AED26-A1B2-4238-9463-9505A10E827B}"/>
    <cellStyle name="Normal 4 4 3 3 6" xfId="2547" xr:uid="{00000000-0005-0000-0000-00009D150000}"/>
    <cellStyle name="Normal 4 4 3 3 6 2" xfId="6832" xr:uid="{00000000-0005-0000-0000-00009E150000}"/>
    <cellStyle name="Normal 4 4 3 3 6 2 2" xfId="15261" xr:uid="{185A05B2-4482-4F49-BD79-9422B94FE1AD}"/>
    <cellStyle name="Normal 4 4 3 3 6 3" xfId="11043" xr:uid="{026E745A-11BD-4409-B802-E7E0AD6C80FC}"/>
    <cellStyle name="Normal 4 4 3 3 7" xfId="4767" xr:uid="{00000000-0005-0000-0000-00009F150000}"/>
    <cellStyle name="Normal 4 4 3 3 7 2" xfId="13196" xr:uid="{A5871C55-78E1-446A-9C36-954B75EA735B}"/>
    <cellStyle name="Normal 4 4 3 3 8" xfId="8978" xr:uid="{27570D2B-BA97-45A7-AE23-E472D2947E69}"/>
    <cellStyle name="Normal 4 4 3 4" xfId="863" xr:uid="{00000000-0005-0000-0000-0000A0150000}"/>
    <cellStyle name="Normal 4 4 3 4 2" xfId="3098" xr:uid="{00000000-0005-0000-0000-0000A1150000}"/>
    <cellStyle name="Normal 4 4 3 4 2 2" xfId="7322" xr:uid="{00000000-0005-0000-0000-0000A2150000}"/>
    <cellStyle name="Normal 4 4 3 4 2 2 2" xfId="15751" xr:uid="{52CAC3F6-5702-49F9-B1B0-06839BE0CF1C}"/>
    <cellStyle name="Normal 4 4 3 4 2 3" xfId="11533" xr:uid="{E062302E-1BED-4E93-AAFE-96FFD7A290D5}"/>
    <cellStyle name="Normal 4 4 3 4 3" xfId="5177" xr:uid="{00000000-0005-0000-0000-0000A3150000}"/>
    <cellStyle name="Normal 4 4 3 4 3 2" xfId="13606" xr:uid="{C23A9D15-48EB-480C-B6D2-DBE98263E53C}"/>
    <cellStyle name="Normal 4 4 3 4 4" xfId="9388" xr:uid="{E9AF843C-7660-4030-908C-AEA8AD8EC66C}"/>
    <cellStyle name="Normal 4 4 3 5" xfId="1281" xr:uid="{00000000-0005-0000-0000-0000A4150000}"/>
    <cellStyle name="Normal 4 4 3 5 2" xfId="3511" xr:uid="{00000000-0005-0000-0000-0000A5150000}"/>
    <cellStyle name="Normal 4 4 3 5 2 2" xfId="7735" xr:uid="{00000000-0005-0000-0000-0000A6150000}"/>
    <cellStyle name="Normal 4 4 3 5 2 2 2" xfId="16164" xr:uid="{7D49E9E9-699B-42FD-A14C-E88C88C92CB9}"/>
    <cellStyle name="Normal 4 4 3 5 2 3" xfId="11946" xr:uid="{740BEA16-7FCA-4301-85E5-F7C0B51608E5}"/>
    <cellStyle name="Normal 4 4 3 5 3" xfId="5590" xr:uid="{00000000-0005-0000-0000-0000A7150000}"/>
    <cellStyle name="Normal 4 4 3 5 3 2" xfId="14019" xr:uid="{7FECD931-F73D-4990-B7F0-4DCCE9141859}"/>
    <cellStyle name="Normal 4 4 3 5 4" xfId="9801" xr:uid="{DC62317F-7453-418D-B4C0-FB87D8DD5FD5}"/>
    <cellStyle name="Normal 4 4 3 6" xfId="1694" xr:uid="{00000000-0005-0000-0000-0000A8150000}"/>
    <cellStyle name="Normal 4 4 3 6 2" xfId="3924" xr:uid="{00000000-0005-0000-0000-0000A9150000}"/>
    <cellStyle name="Normal 4 4 3 6 2 2" xfId="8148" xr:uid="{00000000-0005-0000-0000-0000AA150000}"/>
    <cellStyle name="Normal 4 4 3 6 2 2 2" xfId="16577" xr:uid="{10D31CFC-75C1-4B34-9F24-1B8F646662A7}"/>
    <cellStyle name="Normal 4 4 3 6 2 3" xfId="12359" xr:uid="{3CE2F28C-B7DD-4C80-B7A6-AC2F94BFD08A}"/>
    <cellStyle name="Normal 4 4 3 6 3" xfId="6003" xr:uid="{00000000-0005-0000-0000-0000AB150000}"/>
    <cellStyle name="Normal 4 4 3 6 3 2" xfId="14432" xr:uid="{03B73DD2-2186-417B-AA57-6BFF16C4E5E4}"/>
    <cellStyle name="Normal 4 4 3 6 4" xfId="10214" xr:uid="{4CFC3B5F-7770-427A-A6E0-5E4F849F61F0}"/>
    <cellStyle name="Normal 4 4 3 7" xfId="2108" xr:uid="{00000000-0005-0000-0000-0000AC150000}"/>
    <cellStyle name="Normal 4 4 3 7 2" xfId="4337" xr:uid="{00000000-0005-0000-0000-0000AD150000}"/>
    <cellStyle name="Normal 4 4 3 7 2 2" xfId="8561" xr:uid="{00000000-0005-0000-0000-0000AE150000}"/>
    <cellStyle name="Normal 4 4 3 7 2 2 2" xfId="16990" xr:uid="{CC128D47-C235-4663-903C-4123E8A97F3B}"/>
    <cellStyle name="Normal 4 4 3 7 2 3" xfId="12772" xr:uid="{FA86D0AA-E8B0-4E5B-BB75-2B607FAC6EDE}"/>
    <cellStyle name="Normal 4 4 3 7 3" xfId="6416" xr:uid="{00000000-0005-0000-0000-0000AF150000}"/>
    <cellStyle name="Normal 4 4 3 7 3 2" xfId="14845" xr:uid="{2DCA3D22-0389-4DA0-B2BA-DC73CF1867AF}"/>
    <cellStyle name="Normal 4 4 3 7 4" xfId="10627" xr:uid="{DBCB6989-E0A8-41E9-877D-3A203F1FF320}"/>
    <cellStyle name="Normal 4 4 3 8" xfId="2544" xr:uid="{00000000-0005-0000-0000-0000B0150000}"/>
    <cellStyle name="Normal 4 4 3 8 2" xfId="6829" xr:uid="{00000000-0005-0000-0000-0000B1150000}"/>
    <cellStyle name="Normal 4 4 3 8 2 2" xfId="15258" xr:uid="{C7A00B70-1C29-443D-ACC2-EAC0E90E793C}"/>
    <cellStyle name="Normal 4 4 3 8 3" xfId="11040" xr:uid="{9D870090-3414-4591-9341-854A9A8C1DB1}"/>
    <cellStyle name="Normal 4 4 3 9" xfId="4764" xr:uid="{00000000-0005-0000-0000-0000B2150000}"/>
    <cellStyle name="Normal 4 4 3 9 2" xfId="13193" xr:uid="{B8D263BD-5F58-4206-BE0E-F57EB0BDF464}"/>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2 2" xfId="15756" xr:uid="{B1DD708F-F160-4C45-BA97-F41EB886EBD5}"/>
    <cellStyle name="Normal 4 4 4 2 2 2 3" xfId="11538" xr:uid="{B8955A60-15D1-419F-96C7-33E41326F485}"/>
    <cellStyle name="Normal 4 4 4 2 2 3" xfId="5182" xr:uid="{00000000-0005-0000-0000-0000B8150000}"/>
    <cellStyle name="Normal 4 4 4 2 2 3 2" xfId="13611" xr:uid="{885FE1AD-3D28-4EE3-9906-BC64DE001365}"/>
    <cellStyle name="Normal 4 4 4 2 2 4" xfId="9393" xr:uid="{752E4B95-CC6F-4B33-A724-760E2160B81F}"/>
    <cellStyle name="Normal 4 4 4 2 3" xfId="1286" xr:uid="{00000000-0005-0000-0000-0000B9150000}"/>
    <cellStyle name="Normal 4 4 4 2 3 2" xfId="3516" xr:uid="{00000000-0005-0000-0000-0000BA150000}"/>
    <cellStyle name="Normal 4 4 4 2 3 2 2" xfId="7740" xr:uid="{00000000-0005-0000-0000-0000BB150000}"/>
    <cellStyle name="Normal 4 4 4 2 3 2 2 2" xfId="16169" xr:uid="{6FF911FB-9903-4D93-9AF5-514568146233}"/>
    <cellStyle name="Normal 4 4 4 2 3 2 3" xfId="11951" xr:uid="{6EE06953-C2E4-4808-B8B7-64BB4213FC61}"/>
    <cellStyle name="Normal 4 4 4 2 3 3" xfId="5595" xr:uid="{00000000-0005-0000-0000-0000BC150000}"/>
    <cellStyle name="Normal 4 4 4 2 3 3 2" xfId="14024" xr:uid="{0D9C921D-37B9-4C85-B6CD-3AFB236C5B08}"/>
    <cellStyle name="Normal 4 4 4 2 3 4" xfId="9806" xr:uid="{810C0CB9-B89F-42D1-8CCE-BDD6DE9676A9}"/>
    <cellStyle name="Normal 4 4 4 2 4" xfId="1699" xr:uid="{00000000-0005-0000-0000-0000BD150000}"/>
    <cellStyle name="Normal 4 4 4 2 4 2" xfId="3929" xr:uid="{00000000-0005-0000-0000-0000BE150000}"/>
    <cellStyle name="Normal 4 4 4 2 4 2 2" xfId="8153" xr:uid="{00000000-0005-0000-0000-0000BF150000}"/>
    <cellStyle name="Normal 4 4 4 2 4 2 2 2" xfId="16582" xr:uid="{0B0EECC4-042D-4594-BC71-3F5A268F08D8}"/>
    <cellStyle name="Normal 4 4 4 2 4 2 3" xfId="12364" xr:uid="{35A10641-E564-424A-BB2C-918E833F3378}"/>
    <cellStyle name="Normal 4 4 4 2 4 3" xfId="6008" xr:uid="{00000000-0005-0000-0000-0000C0150000}"/>
    <cellStyle name="Normal 4 4 4 2 4 3 2" xfId="14437" xr:uid="{3EDD9BFC-6B33-4BE0-98AA-BE9114F4C3A8}"/>
    <cellStyle name="Normal 4 4 4 2 4 4" xfId="10219" xr:uid="{92B8BE3D-2A56-4395-BAD6-49ED6AB94981}"/>
    <cellStyle name="Normal 4 4 4 2 5" xfId="2113" xr:uid="{00000000-0005-0000-0000-0000C1150000}"/>
    <cellStyle name="Normal 4 4 4 2 5 2" xfId="4342" xr:uid="{00000000-0005-0000-0000-0000C2150000}"/>
    <cellStyle name="Normal 4 4 4 2 5 2 2" xfId="8566" xr:uid="{00000000-0005-0000-0000-0000C3150000}"/>
    <cellStyle name="Normal 4 4 4 2 5 2 2 2" xfId="16995" xr:uid="{8428C895-FEC6-4872-AE3B-59E172663297}"/>
    <cellStyle name="Normal 4 4 4 2 5 2 3" xfId="12777" xr:uid="{82998E50-40F5-4FAD-A54A-0F55C65684FB}"/>
    <cellStyle name="Normal 4 4 4 2 5 3" xfId="6421" xr:uid="{00000000-0005-0000-0000-0000C4150000}"/>
    <cellStyle name="Normal 4 4 4 2 5 3 2" xfId="14850" xr:uid="{075E25FE-D966-4683-8FFD-DFFDFF898E89}"/>
    <cellStyle name="Normal 4 4 4 2 5 4" xfId="10632" xr:uid="{3604420B-C6AA-4FA2-B79E-EB08E6E1E2C4}"/>
    <cellStyle name="Normal 4 4 4 2 6" xfId="2549" xr:uid="{00000000-0005-0000-0000-0000C5150000}"/>
    <cellStyle name="Normal 4 4 4 2 6 2" xfId="6834" xr:uid="{00000000-0005-0000-0000-0000C6150000}"/>
    <cellStyle name="Normal 4 4 4 2 6 2 2" xfId="15263" xr:uid="{68C537A0-4164-4257-82C5-F4D5B902F501}"/>
    <cellStyle name="Normal 4 4 4 2 6 3" xfId="11045" xr:uid="{5B6241FB-C290-475E-9F5D-F2766D7D0026}"/>
    <cellStyle name="Normal 4 4 4 2 7" xfId="4769" xr:uid="{00000000-0005-0000-0000-0000C7150000}"/>
    <cellStyle name="Normal 4 4 4 2 7 2" xfId="13198" xr:uid="{1E0DD820-1CC5-43F7-BFC7-12955F478DB5}"/>
    <cellStyle name="Normal 4 4 4 2 8" xfId="8980" xr:uid="{1093BF9A-F80A-4119-9D8F-2193ACD9D0C4}"/>
    <cellStyle name="Normal 4 4 4 3" xfId="867" xr:uid="{00000000-0005-0000-0000-0000C8150000}"/>
    <cellStyle name="Normal 4 4 4 3 2" xfId="3102" xr:uid="{00000000-0005-0000-0000-0000C9150000}"/>
    <cellStyle name="Normal 4 4 4 3 2 2" xfId="7326" xr:uid="{00000000-0005-0000-0000-0000CA150000}"/>
    <cellStyle name="Normal 4 4 4 3 2 2 2" xfId="15755" xr:uid="{3F86CBDE-8D28-44AA-99B8-13362C0EA0DE}"/>
    <cellStyle name="Normal 4 4 4 3 2 3" xfId="11537" xr:uid="{B8C1BB3C-989E-44CB-9D2E-18980087882C}"/>
    <cellStyle name="Normal 4 4 4 3 3" xfId="5181" xr:uid="{00000000-0005-0000-0000-0000CB150000}"/>
    <cellStyle name="Normal 4 4 4 3 3 2" xfId="13610" xr:uid="{78459C5B-025E-4945-8C0B-AB5BEF681DAC}"/>
    <cellStyle name="Normal 4 4 4 3 4" xfId="9392" xr:uid="{2D88945A-C4AA-4446-BFBC-A6A74E8756D4}"/>
    <cellStyle name="Normal 4 4 4 4" xfId="1285" xr:uid="{00000000-0005-0000-0000-0000CC150000}"/>
    <cellStyle name="Normal 4 4 4 4 2" xfId="3515" xr:uid="{00000000-0005-0000-0000-0000CD150000}"/>
    <cellStyle name="Normal 4 4 4 4 2 2" xfId="7739" xr:uid="{00000000-0005-0000-0000-0000CE150000}"/>
    <cellStyle name="Normal 4 4 4 4 2 2 2" xfId="16168" xr:uid="{90184B21-6C3F-493E-970C-DEA09BEDB0D1}"/>
    <cellStyle name="Normal 4 4 4 4 2 3" xfId="11950" xr:uid="{1B84F8DB-8513-484C-87E7-003AB12E1FF6}"/>
    <cellStyle name="Normal 4 4 4 4 3" xfId="5594" xr:uid="{00000000-0005-0000-0000-0000CF150000}"/>
    <cellStyle name="Normal 4 4 4 4 3 2" xfId="14023" xr:uid="{5D6DCBE1-51D1-4ECC-A97A-B1325161B36E}"/>
    <cellStyle name="Normal 4 4 4 4 4" xfId="9805" xr:uid="{6743FDFA-44B2-4115-A96D-768B124A7E87}"/>
    <cellStyle name="Normal 4 4 4 5" xfId="1698" xr:uid="{00000000-0005-0000-0000-0000D0150000}"/>
    <cellStyle name="Normal 4 4 4 5 2" xfId="3928" xr:uid="{00000000-0005-0000-0000-0000D1150000}"/>
    <cellStyle name="Normal 4 4 4 5 2 2" xfId="8152" xr:uid="{00000000-0005-0000-0000-0000D2150000}"/>
    <cellStyle name="Normal 4 4 4 5 2 2 2" xfId="16581" xr:uid="{9D08B4BC-FA89-4E5D-9758-3C6D04766672}"/>
    <cellStyle name="Normal 4 4 4 5 2 3" xfId="12363" xr:uid="{F6F8C47D-45DE-4791-874F-D843CA127EAF}"/>
    <cellStyle name="Normal 4 4 4 5 3" xfId="6007" xr:uid="{00000000-0005-0000-0000-0000D3150000}"/>
    <cellStyle name="Normal 4 4 4 5 3 2" xfId="14436" xr:uid="{71B57CDA-7206-45B7-9D19-CA6D57E65963}"/>
    <cellStyle name="Normal 4 4 4 5 4" xfId="10218" xr:uid="{C3066EDF-672F-4CD1-950E-F1DE5B97D205}"/>
    <cellStyle name="Normal 4 4 4 6" xfId="2112" xr:uid="{00000000-0005-0000-0000-0000D4150000}"/>
    <cellStyle name="Normal 4 4 4 6 2" xfId="4341" xr:uid="{00000000-0005-0000-0000-0000D5150000}"/>
    <cellStyle name="Normal 4 4 4 6 2 2" xfId="8565" xr:uid="{00000000-0005-0000-0000-0000D6150000}"/>
    <cellStyle name="Normal 4 4 4 6 2 2 2" xfId="16994" xr:uid="{25B7D199-0395-4273-8558-C8DC7DA5FB96}"/>
    <cellStyle name="Normal 4 4 4 6 2 3" xfId="12776" xr:uid="{01CB5891-784C-40FE-AB1F-C0533E69D8FA}"/>
    <cellStyle name="Normal 4 4 4 6 3" xfId="6420" xr:uid="{00000000-0005-0000-0000-0000D7150000}"/>
    <cellStyle name="Normal 4 4 4 6 3 2" xfId="14849" xr:uid="{6479DD65-03BF-463B-8AF4-879490A6F07D}"/>
    <cellStyle name="Normal 4 4 4 6 4" xfId="10631" xr:uid="{2CED8A2A-13A0-40F4-9131-0AFD580F3BB3}"/>
    <cellStyle name="Normal 4 4 4 7" xfId="2548" xr:uid="{00000000-0005-0000-0000-0000D8150000}"/>
    <cellStyle name="Normal 4 4 4 7 2" xfId="6833" xr:uid="{00000000-0005-0000-0000-0000D9150000}"/>
    <cellStyle name="Normal 4 4 4 7 2 2" xfId="15262" xr:uid="{B010DF9A-1E9C-481B-AE57-0DB50E9771BB}"/>
    <cellStyle name="Normal 4 4 4 7 3" xfId="11044" xr:uid="{ECDFAC0B-05DE-4FB8-9D77-CE513803CB0B}"/>
    <cellStyle name="Normal 4 4 4 8" xfId="4768" xr:uid="{00000000-0005-0000-0000-0000DA150000}"/>
    <cellStyle name="Normal 4 4 4 8 2" xfId="13197" xr:uid="{514E3B89-0DCD-4DFF-A3FF-389C8DA5BCE2}"/>
    <cellStyle name="Normal 4 4 4 9" xfId="8979" xr:uid="{7A5A8377-AAE0-4904-8155-8303E6871F29}"/>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2 2" xfId="15757" xr:uid="{1D7C9FA5-9F1F-4C9F-9826-725289E89BC3}"/>
    <cellStyle name="Normal 4 4 5 2 2 3" xfId="11539" xr:uid="{D49A6AA2-CC0A-4890-8D35-40A3375BA284}"/>
    <cellStyle name="Normal 4 4 5 2 3" xfId="5183" xr:uid="{00000000-0005-0000-0000-0000DF150000}"/>
    <cellStyle name="Normal 4 4 5 2 3 2" xfId="13612" xr:uid="{08759730-D0C8-4FB1-B50F-C9E1B9AC63F9}"/>
    <cellStyle name="Normal 4 4 5 2 4" xfId="9394" xr:uid="{18386525-8182-4B30-8539-BA3A26546761}"/>
    <cellStyle name="Normal 4 4 5 3" xfId="1287" xr:uid="{00000000-0005-0000-0000-0000E0150000}"/>
    <cellStyle name="Normal 4 4 5 3 2" xfId="3517" xr:uid="{00000000-0005-0000-0000-0000E1150000}"/>
    <cellStyle name="Normal 4 4 5 3 2 2" xfId="7741" xr:uid="{00000000-0005-0000-0000-0000E2150000}"/>
    <cellStyle name="Normal 4 4 5 3 2 2 2" xfId="16170" xr:uid="{3CD5C7A4-71E7-48F3-8AA3-7C7413AE848E}"/>
    <cellStyle name="Normal 4 4 5 3 2 3" xfId="11952" xr:uid="{7F2C7F30-607D-44D2-83CB-9A42F2FC6C7E}"/>
    <cellStyle name="Normal 4 4 5 3 3" xfId="5596" xr:uid="{00000000-0005-0000-0000-0000E3150000}"/>
    <cellStyle name="Normal 4 4 5 3 3 2" xfId="14025" xr:uid="{EC30FEFC-9EAC-4C44-86E3-99711F86F6AD}"/>
    <cellStyle name="Normal 4 4 5 3 4" xfId="9807" xr:uid="{F8852E79-F052-4A5D-A2CA-57DB9B7B5B9C}"/>
    <cellStyle name="Normal 4 4 5 4" xfId="1700" xr:uid="{00000000-0005-0000-0000-0000E4150000}"/>
    <cellStyle name="Normal 4 4 5 4 2" xfId="3930" xr:uid="{00000000-0005-0000-0000-0000E5150000}"/>
    <cellStyle name="Normal 4 4 5 4 2 2" xfId="8154" xr:uid="{00000000-0005-0000-0000-0000E6150000}"/>
    <cellStyle name="Normal 4 4 5 4 2 2 2" xfId="16583" xr:uid="{93C9C295-83EB-4A0C-8AD0-CA2B17E3E86A}"/>
    <cellStyle name="Normal 4 4 5 4 2 3" xfId="12365" xr:uid="{22988A50-192C-43E5-8902-762E6738902A}"/>
    <cellStyle name="Normal 4 4 5 4 3" xfId="6009" xr:uid="{00000000-0005-0000-0000-0000E7150000}"/>
    <cellStyle name="Normal 4 4 5 4 3 2" xfId="14438" xr:uid="{B125ADC6-1552-4CB5-BA8F-98D190223F25}"/>
    <cellStyle name="Normal 4 4 5 4 4" xfId="10220" xr:uid="{C2B37E64-21E3-4E71-BAC6-9CA3DFE34ACE}"/>
    <cellStyle name="Normal 4 4 5 5" xfId="2114" xr:uid="{00000000-0005-0000-0000-0000E8150000}"/>
    <cellStyle name="Normal 4 4 5 5 2" xfId="4343" xr:uid="{00000000-0005-0000-0000-0000E9150000}"/>
    <cellStyle name="Normal 4 4 5 5 2 2" xfId="8567" xr:uid="{00000000-0005-0000-0000-0000EA150000}"/>
    <cellStyle name="Normal 4 4 5 5 2 2 2" xfId="16996" xr:uid="{3C1CCEB2-7C5D-498C-AA70-AD98FEF2746B}"/>
    <cellStyle name="Normal 4 4 5 5 2 3" xfId="12778" xr:uid="{922B6376-2494-480A-A314-16487B042DB2}"/>
    <cellStyle name="Normal 4 4 5 5 3" xfId="6422" xr:uid="{00000000-0005-0000-0000-0000EB150000}"/>
    <cellStyle name="Normal 4 4 5 5 3 2" xfId="14851" xr:uid="{F58E9C85-A5F1-48EC-81E2-C67A6618C042}"/>
    <cellStyle name="Normal 4 4 5 5 4" xfId="10633" xr:uid="{E49075DB-D841-489D-83B3-99C12C2DC9CE}"/>
    <cellStyle name="Normal 4 4 5 6" xfId="2550" xr:uid="{00000000-0005-0000-0000-0000EC150000}"/>
    <cellStyle name="Normal 4 4 5 6 2" xfId="6835" xr:uid="{00000000-0005-0000-0000-0000ED150000}"/>
    <cellStyle name="Normal 4 4 5 6 2 2" xfId="15264" xr:uid="{AB6CD0E1-B17A-4C94-AC12-B3EE113967A8}"/>
    <cellStyle name="Normal 4 4 5 6 3" xfId="11046" xr:uid="{8B60A19A-8C58-41B9-BC47-3102E7BD06F3}"/>
    <cellStyle name="Normal 4 4 5 7" xfId="4770" xr:uid="{00000000-0005-0000-0000-0000EE150000}"/>
    <cellStyle name="Normal 4 4 5 7 2" xfId="13199" xr:uid="{15A69B7D-5D27-48AC-A022-7A19BCE7C1CE}"/>
    <cellStyle name="Normal 4 4 5 8" xfId="8981" xr:uid="{277E37B8-A8C6-4F2E-A6DA-1587187867CC}"/>
    <cellStyle name="Normal 4 4 6" xfId="854" xr:uid="{00000000-0005-0000-0000-0000EF150000}"/>
    <cellStyle name="Normal 4 4 6 2" xfId="3089" xr:uid="{00000000-0005-0000-0000-0000F0150000}"/>
    <cellStyle name="Normal 4 4 6 2 2" xfId="7313" xr:uid="{00000000-0005-0000-0000-0000F1150000}"/>
    <cellStyle name="Normal 4 4 6 2 2 2" xfId="15742" xr:uid="{02AC5285-5970-49C9-A4B3-F643B64A62EE}"/>
    <cellStyle name="Normal 4 4 6 2 3" xfId="11524" xr:uid="{502EDC38-A2A2-4E2B-91EB-46F5A736518F}"/>
    <cellStyle name="Normal 4 4 6 3" xfId="5168" xr:uid="{00000000-0005-0000-0000-0000F2150000}"/>
    <cellStyle name="Normal 4 4 6 3 2" xfId="13597" xr:uid="{BC2FBCB5-DD12-40D3-B24F-4C13776C2C5A}"/>
    <cellStyle name="Normal 4 4 6 4" xfId="9379" xr:uid="{34C60DC0-5FFD-4B9F-9CC7-F7E77EC9A6C0}"/>
    <cellStyle name="Normal 4 4 7" xfId="1272" xr:uid="{00000000-0005-0000-0000-0000F3150000}"/>
    <cellStyle name="Normal 4 4 7 2" xfId="3502" xr:uid="{00000000-0005-0000-0000-0000F4150000}"/>
    <cellStyle name="Normal 4 4 7 2 2" xfId="7726" xr:uid="{00000000-0005-0000-0000-0000F5150000}"/>
    <cellStyle name="Normal 4 4 7 2 2 2" xfId="16155" xr:uid="{A6DAEC8A-9030-4832-99C8-86379FFC77CF}"/>
    <cellStyle name="Normal 4 4 7 2 3" xfId="11937" xr:uid="{E96B9D01-3D62-4DEA-993A-DA2A4CA35268}"/>
    <cellStyle name="Normal 4 4 7 3" xfId="5581" xr:uid="{00000000-0005-0000-0000-0000F6150000}"/>
    <cellStyle name="Normal 4 4 7 3 2" xfId="14010" xr:uid="{B4A2A6AD-9755-4843-916D-B4CB02787875}"/>
    <cellStyle name="Normal 4 4 7 4" xfId="9792" xr:uid="{7E74CAB9-3201-4347-8CC9-A79AF17150EB}"/>
    <cellStyle name="Normal 4 4 8" xfId="1685" xr:uid="{00000000-0005-0000-0000-0000F7150000}"/>
    <cellStyle name="Normal 4 4 8 2" xfId="3915" xr:uid="{00000000-0005-0000-0000-0000F8150000}"/>
    <cellStyle name="Normal 4 4 8 2 2" xfId="8139" xr:uid="{00000000-0005-0000-0000-0000F9150000}"/>
    <cellStyle name="Normal 4 4 8 2 2 2" xfId="16568" xr:uid="{FD5A3768-D6D7-44FF-8D6C-EB0F8D6EA43B}"/>
    <cellStyle name="Normal 4 4 8 2 3" xfId="12350" xr:uid="{DE758D98-3FA7-4DBE-8410-F7BE6A33A066}"/>
    <cellStyle name="Normal 4 4 8 3" xfId="5994" xr:uid="{00000000-0005-0000-0000-0000FA150000}"/>
    <cellStyle name="Normal 4 4 8 3 2" xfId="14423" xr:uid="{1DF91D32-9BAA-48B5-87F2-E0CE24F63354}"/>
    <cellStyle name="Normal 4 4 8 4" xfId="10205" xr:uid="{01610D69-EFE1-49FA-8355-90711FA54A71}"/>
    <cellStyle name="Normal 4 4 9" xfId="2099" xr:uid="{00000000-0005-0000-0000-0000FB150000}"/>
    <cellStyle name="Normal 4 4 9 2" xfId="4328" xr:uid="{00000000-0005-0000-0000-0000FC150000}"/>
    <cellStyle name="Normal 4 4 9 2 2" xfId="8552" xr:uid="{00000000-0005-0000-0000-0000FD150000}"/>
    <cellStyle name="Normal 4 4 9 2 2 2" xfId="16981" xr:uid="{2256C9BF-6BC9-404F-9269-E8D9AB5A844F}"/>
    <cellStyle name="Normal 4 4 9 2 3" xfId="12763" xr:uid="{61AE584F-A489-4CF3-A93D-AF403083C4F9}"/>
    <cellStyle name="Normal 4 4 9 3" xfId="6407" xr:uid="{00000000-0005-0000-0000-0000FE150000}"/>
    <cellStyle name="Normal 4 4 9 3 2" xfId="14836" xr:uid="{0B8E2449-F9FC-473A-AD5D-4669248425AF}"/>
    <cellStyle name="Normal 4 4 9 4" xfId="10618" xr:uid="{9DBB2EB1-B3B0-4923-B44E-884457CC1062}"/>
    <cellStyle name="Normal 4 5" xfId="394" xr:uid="{00000000-0005-0000-0000-0000FF150000}"/>
    <cellStyle name="Normal 4 6" xfId="395" xr:uid="{00000000-0005-0000-0000-000000160000}"/>
    <cellStyle name="Normal 4 6 10" xfId="4771" xr:uid="{00000000-0005-0000-0000-000001160000}"/>
    <cellStyle name="Normal 4 6 10 2" xfId="13200" xr:uid="{2BD75C5F-8D31-4AB4-8D19-A35ED3399A44}"/>
    <cellStyle name="Normal 4 6 11" xfId="8982" xr:uid="{7836AE58-86AB-4C6B-B1A1-11B04E20C9C5}"/>
    <cellStyle name="Normal 4 6 2" xfId="396" xr:uid="{00000000-0005-0000-0000-000002160000}"/>
    <cellStyle name="Normal 4 6 2 10" xfId="8983" xr:uid="{B380DDDC-D88B-4664-955D-4AA415FFBEF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2 2" xfId="15761" xr:uid="{049D5A64-C2CD-4481-BD5E-199622392764}"/>
    <cellStyle name="Normal 4 6 2 2 2 2 2 3" xfId="11543" xr:uid="{4D77515B-3140-493C-9D24-A427C7531B53}"/>
    <cellStyle name="Normal 4 6 2 2 2 2 3" xfId="5187" xr:uid="{00000000-0005-0000-0000-000008160000}"/>
    <cellStyle name="Normal 4 6 2 2 2 2 3 2" xfId="13616" xr:uid="{3B95DFB5-B353-4D9F-B98D-FFF4B8B59EE6}"/>
    <cellStyle name="Normal 4 6 2 2 2 2 4" xfId="9398" xr:uid="{8E8A4ABC-D0AB-40C6-9B27-DDC4EBF3E45C}"/>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2 2" xfId="16174" xr:uid="{13B18F3D-9E91-43C1-8D75-787695963974}"/>
    <cellStyle name="Normal 4 6 2 2 2 3 2 3" xfId="11956" xr:uid="{2937A0FA-C981-4DF6-9E9D-2279AFB78FD8}"/>
    <cellStyle name="Normal 4 6 2 2 2 3 3" xfId="5600" xr:uid="{00000000-0005-0000-0000-00000C160000}"/>
    <cellStyle name="Normal 4 6 2 2 2 3 3 2" xfId="14029" xr:uid="{2A9E1463-FB7E-4E90-8D9F-40457598347F}"/>
    <cellStyle name="Normal 4 6 2 2 2 3 4" xfId="9811" xr:uid="{6B883FA0-2D91-41CD-813B-A25B6498D3C8}"/>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2 2" xfId="16587" xr:uid="{48731E9E-A34F-4DB1-B299-5F09D7C3E528}"/>
    <cellStyle name="Normal 4 6 2 2 2 4 2 3" xfId="12369" xr:uid="{02511ACC-47C7-4C9E-9FB3-4443C3EA7A5D}"/>
    <cellStyle name="Normal 4 6 2 2 2 4 3" xfId="6013" xr:uid="{00000000-0005-0000-0000-000010160000}"/>
    <cellStyle name="Normal 4 6 2 2 2 4 3 2" xfId="14442" xr:uid="{39A240C5-4DD9-4D63-A831-64D58F27D46A}"/>
    <cellStyle name="Normal 4 6 2 2 2 4 4" xfId="10224" xr:uid="{7D0B9545-AFEF-4B49-B392-E4F134B50882}"/>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2 2" xfId="17000" xr:uid="{937CC70B-29CB-4320-B297-B734F54056BF}"/>
    <cellStyle name="Normal 4 6 2 2 2 5 2 3" xfId="12782" xr:uid="{20E18567-F75D-4E37-84F8-F4E123FE2435}"/>
    <cellStyle name="Normal 4 6 2 2 2 5 3" xfId="6426" xr:uid="{00000000-0005-0000-0000-000014160000}"/>
    <cellStyle name="Normal 4 6 2 2 2 5 3 2" xfId="14855" xr:uid="{63A9B4FB-740A-4CBF-97C2-5732C2DE56A9}"/>
    <cellStyle name="Normal 4 6 2 2 2 5 4" xfId="10637" xr:uid="{F70515AE-0C7A-403C-8AFC-10C7090F4D53}"/>
    <cellStyle name="Normal 4 6 2 2 2 6" xfId="2554" xr:uid="{00000000-0005-0000-0000-000015160000}"/>
    <cellStyle name="Normal 4 6 2 2 2 6 2" xfId="6839" xr:uid="{00000000-0005-0000-0000-000016160000}"/>
    <cellStyle name="Normal 4 6 2 2 2 6 2 2" xfId="15268" xr:uid="{2184F6A5-B6B8-4797-B1F8-598746B99BA4}"/>
    <cellStyle name="Normal 4 6 2 2 2 6 3" xfId="11050" xr:uid="{B0F91616-9667-45BA-A84F-4D54D714485C}"/>
    <cellStyle name="Normal 4 6 2 2 2 7" xfId="4774" xr:uid="{00000000-0005-0000-0000-000017160000}"/>
    <cellStyle name="Normal 4 6 2 2 2 7 2" xfId="13203" xr:uid="{6B4F4150-7BDE-40A6-A07A-20B3F64C95A1}"/>
    <cellStyle name="Normal 4 6 2 2 2 8" xfId="8985" xr:uid="{48FB263E-6AC8-47DA-AC62-079811950D92}"/>
    <cellStyle name="Normal 4 6 2 2 3" xfId="872" xr:uid="{00000000-0005-0000-0000-000018160000}"/>
    <cellStyle name="Normal 4 6 2 2 3 2" xfId="3107" xr:uid="{00000000-0005-0000-0000-000019160000}"/>
    <cellStyle name="Normal 4 6 2 2 3 2 2" xfId="7331" xr:uid="{00000000-0005-0000-0000-00001A160000}"/>
    <cellStyle name="Normal 4 6 2 2 3 2 2 2" xfId="15760" xr:uid="{5F6C0643-88FB-420A-B76B-C0DD3539B532}"/>
    <cellStyle name="Normal 4 6 2 2 3 2 3" xfId="11542" xr:uid="{86CF9591-6730-4FFA-822C-BBA53E48F1F4}"/>
    <cellStyle name="Normal 4 6 2 2 3 3" xfId="5186" xr:uid="{00000000-0005-0000-0000-00001B160000}"/>
    <cellStyle name="Normal 4 6 2 2 3 3 2" xfId="13615" xr:uid="{729D8843-84A7-4358-85B6-CEA99A3916C6}"/>
    <cellStyle name="Normal 4 6 2 2 3 4" xfId="9397" xr:uid="{4CF89CDD-3117-40BC-AB86-FF9C09E48A2A}"/>
    <cellStyle name="Normal 4 6 2 2 4" xfId="1290" xr:uid="{00000000-0005-0000-0000-00001C160000}"/>
    <cellStyle name="Normal 4 6 2 2 4 2" xfId="3520" xr:uid="{00000000-0005-0000-0000-00001D160000}"/>
    <cellStyle name="Normal 4 6 2 2 4 2 2" xfId="7744" xr:uid="{00000000-0005-0000-0000-00001E160000}"/>
    <cellStyle name="Normal 4 6 2 2 4 2 2 2" xfId="16173" xr:uid="{2C738079-8D31-4C69-AABA-5938024B3717}"/>
    <cellStyle name="Normal 4 6 2 2 4 2 3" xfId="11955" xr:uid="{16F0335F-392F-4FDA-9B62-A68FE0CD6308}"/>
    <cellStyle name="Normal 4 6 2 2 4 3" xfId="5599" xr:uid="{00000000-0005-0000-0000-00001F160000}"/>
    <cellStyle name="Normal 4 6 2 2 4 3 2" xfId="14028" xr:uid="{5C0DF28E-66D9-401F-97E2-7FEE7A803044}"/>
    <cellStyle name="Normal 4 6 2 2 4 4" xfId="9810" xr:uid="{086A3AC4-3F8F-4D03-A0F2-501DC80A5475}"/>
    <cellStyle name="Normal 4 6 2 2 5" xfId="1703" xr:uid="{00000000-0005-0000-0000-000020160000}"/>
    <cellStyle name="Normal 4 6 2 2 5 2" xfId="3933" xr:uid="{00000000-0005-0000-0000-000021160000}"/>
    <cellStyle name="Normal 4 6 2 2 5 2 2" xfId="8157" xr:uid="{00000000-0005-0000-0000-000022160000}"/>
    <cellStyle name="Normal 4 6 2 2 5 2 2 2" xfId="16586" xr:uid="{A0FF9DED-9774-481B-90A9-0E81B285870D}"/>
    <cellStyle name="Normal 4 6 2 2 5 2 3" xfId="12368" xr:uid="{CF356B31-BEC0-4C91-BDF0-C8025E0E360C}"/>
    <cellStyle name="Normal 4 6 2 2 5 3" xfId="6012" xr:uid="{00000000-0005-0000-0000-000023160000}"/>
    <cellStyle name="Normal 4 6 2 2 5 3 2" xfId="14441" xr:uid="{712A2FC0-5DFA-4F04-8DEF-C72E6B23F688}"/>
    <cellStyle name="Normal 4 6 2 2 5 4" xfId="10223" xr:uid="{05D401E5-4CE5-4106-BAF9-BC529F8F6EE1}"/>
    <cellStyle name="Normal 4 6 2 2 6" xfId="2117" xr:uid="{00000000-0005-0000-0000-000024160000}"/>
    <cellStyle name="Normal 4 6 2 2 6 2" xfId="4346" xr:uid="{00000000-0005-0000-0000-000025160000}"/>
    <cellStyle name="Normal 4 6 2 2 6 2 2" xfId="8570" xr:uid="{00000000-0005-0000-0000-000026160000}"/>
    <cellStyle name="Normal 4 6 2 2 6 2 2 2" xfId="16999" xr:uid="{35603D1F-122E-4198-AB29-25F9C976D349}"/>
    <cellStyle name="Normal 4 6 2 2 6 2 3" xfId="12781" xr:uid="{6640B469-2073-4775-9839-A39F0B0B3D11}"/>
    <cellStyle name="Normal 4 6 2 2 6 3" xfId="6425" xr:uid="{00000000-0005-0000-0000-000027160000}"/>
    <cellStyle name="Normal 4 6 2 2 6 3 2" xfId="14854" xr:uid="{633A12E1-4B1A-41EE-AF5F-238B6ED63C37}"/>
    <cellStyle name="Normal 4 6 2 2 6 4" xfId="10636" xr:uid="{D26B84AE-0B4F-40C8-B911-FFB9B6044DD8}"/>
    <cellStyle name="Normal 4 6 2 2 7" xfId="2553" xr:uid="{00000000-0005-0000-0000-000028160000}"/>
    <cellStyle name="Normal 4 6 2 2 7 2" xfId="6838" xr:uid="{00000000-0005-0000-0000-000029160000}"/>
    <cellStyle name="Normal 4 6 2 2 7 2 2" xfId="15267" xr:uid="{37174BDD-085C-4C09-A888-0F5D27142C9B}"/>
    <cellStyle name="Normal 4 6 2 2 7 3" xfId="11049" xr:uid="{3FFBDDDF-0247-4F89-99F2-FA86F1F93C73}"/>
    <cellStyle name="Normal 4 6 2 2 8" xfId="4773" xr:uid="{00000000-0005-0000-0000-00002A160000}"/>
    <cellStyle name="Normal 4 6 2 2 8 2" xfId="13202" xr:uid="{089DADAE-CB08-4985-9936-B40F5E2A1B24}"/>
    <cellStyle name="Normal 4 6 2 2 9" xfId="8984" xr:uid="{36910AB1-CDB5-46AC-9BE4-481F15A755D5}"/>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2 2" xfId="15762" xr:uid="{3F2B15A6-7556-482D-889C-C06C6D1DE565}"/>
    <cellStyle name="Normal 4 6 2 3 2 2 3" xfId="11544" xr:uid="{B368D4F9-2EF5-4BAF-AAA4-8CD4E944FA17}"/>
    <cellStyle name="Normal 4 6 2 3 2 3" xfId="5188" xr:uid="{00000000-0005-0000-0000-00002F160000}"/>
    <cellStyle name="Normal 4 6 2 3 2 3 2" xfId="13617" xr:uid="{75682B9E-CE97-4121-8BB0-6BB30144077C}"/>
    <cellStyle name="Normal 4 6 2 3 2 4" xfId="9399" xr:uid="{42FCE74E-D7BC-4C49-88CB-BA434D405F86}"/>
    <cellStyle name="Normal 4 6 2 3 3" xfId="1292" xr:uid="{00000000-0005-0000-0000-000030160000}"/>
    <cellStyle name="Normal 4 6 2 3 3 2" xfId="3522" xr:uid="{00000000-0005-0000-0000-000031160000}"/>
    <cellStyle name="Normal 4 6 2 3 3 2 2" xfId="7746" xr:uid="{00000000-0005-0000-0000-000032160000}"/>
    <cellStyle name="Normal 4 6 2 3 3 2 2 2" xfId="16175" xr:uid="{F20B6B60-6534-4D81-B3CC-D8CC9C5B311B}"/>
    <cellStyle name="Normal 4 6 2 3 3 2 3" xfId="11957" xr:uid="{80A4E574-D48D-4E92-B5FC-74CF23346F7F}"/>
    <cellStyle name="Normal 4 6 2 3 3 3" xfId="5601" xr:uid="{00000000-0005-0000-0000-000033160000}"/>
    <cellStyle name="Normal 4 6 2 3 3 3 2" xfId="14030" xr:uid="{95E56838-A5F2-4C6D-A7DF-6D82956D8B46}"/>
    <cellStyle name="Normal 4 6 2 3 3 4" xfId="9812" xr:uid="{7291CA60-7568-4F06-8250-C12B4C715552}"/>
    <cellStyle name="Normal 4 6 2 3 4" xfId="1705" xr:uid="{00000000-0005-0000-0000-000034160000}"/>
    <cellStyle name="Normal 4 6 2 3 4 2" xfId="3935" xr:uid="{00000000-0005-0000-0000-000035160000}"/>
    <cellStyle name="Normal 4 6 2 3 4 2 2" xfId="8159" xr:uid="{00000000-0005-0000-0000-000036160000}"/>
    <cellStyle name="Normal 4 6 2 3 4 2 2 2" xfId="16588" xr:uid="{4C7D83AB-031D-4DDE-A197-0CD794347EBA}"/>
    <cellStyle name="Normal 4 6 2 3 4 2 3" xfId="12370" xr:uid="{095D1E18-45DE-427E-98DD-2E5980A703D5}"/>
    <cellStyle name="Normal 4 6 2 3 4 3" xfId="6014" xr:uid="{00000000-0005-0000-0000-000037160000}"/>
    <cellStyle name="Normal 4 6 2 3 4 3 2" xfId="14443" xr:uid="{F50837D8-D358-482C-B20F-529D8AA05512}"/>
    <cellStyle name="Normal 4 6 2 3 4 4" xfId="10225" xr:uid="{B74D5A0B-C85A-4A58-812B-2B51C3435C0A}"/>
    <cellStyle name="Normal 4 6 2 3 5" xfId="2119" xr:uid="{00000000-0005-0000-0000-000038160000}"/>
    <cellStyle name="Normal 4 6 2 3 5 2" xfId="4348" xr:uid="{00000000-0005-0000-0000-000039160000}"/>
    <cellStyle name="Normal 4 6 2 3 5 2 2" xfId="8572" xr:uid="{00000000-0005-0000-0000-00003A160000}"/>
    <cellStyle name="Normal 4 6 2 3 5 2 2 2" xfId="17001" xr:uid="{07F61B6E-01D2-4833-A070-DF9658B03BDE}"/>
    <cellStyle name="Normal 4 6 2 3 5 2 3" xfId="12783" xr:uid="{2A2F9DB5-BB55-4EA4-9A54-AE4EF549105F}"/>
    <cellStyle name="Normal 4 6 2 3 5 3" xfId="6427" xr:uid="{00000000-0005-0000-0000-00003B160000}"/>
    <cellStyle name="Normal 4 6 2 3 5 3 2" xfId="14856" xr:uid="{0927DABF-FAC2-4A4D-AC3D-CB3E2BA706F3}"/>
    <cellStyle name="Normal 4 6 2 3 5 4" xfId="10638" xr:uid="{EB667DDF-6047-4977-9FA9-251DA599F8D7}"/>
    <cellStyle name="Normal 4 6 2 3 6" xfId="2555" xr:uid="{00000000-0005-0000-0000-00003C160000}"/>
    <cellStyle name="Normal 4 6 2 3 6 2" xfId="6840" xr:uid="{00000000-0005-0000-0000-00003D160000}"/>
    <cellStyle name="Normal 4 6 2 3 6 2 2" xfId="15269" xr:uid="{35D3C345-452E-452D-9163-F5A34E1A954A}"/>
    <cellStyle name="Normal 4 6 2 3 6 3" xfId="11051" xr:uid="{E0E4BB0E-121E-452F-B6FB-810C48E88545}"/>
    <cellStyle name="Normal 4 6 2 3 7" xfId="4775" xr:uid="{00000000-0005-0000-0000-00003E160000}"/>
    <cellStyle name="Normal 4 6 2 3 7 2" xfId="13204" xr:uid="{F80C83B8-B1BD-4219-9A71-1297B30534E2}"/>
    <cellStyle name="Normal 4 6 2 3 8" xfId="8986" xr:uid="{68DA7A5E-F65F-456C-91BB-4CA734CB5B3B}"/>
    <cellStyle name="Normal 4 6 2 4" xfId="871" xr:uid="{00000000-0005-0000-0000-00003F160000}"/>
    <cellStyle name="Normal 4 6 2 4 2" xfId="3106" xr:uid="{00000000-0005-0000-0000-000040160000}"/>
    <cellStyle name="Normal 4 6 2 4 2 2" xfId="7330" xr:uid="{00000000-0005-0000-0000-000041160000}"/>
    <cellStyle name="Normal 4 6 2 4 2 2 2" xfId="15759" xr:uid="{D0DDD518-ECAD-4E24-A26C-E6B415193FF0}"/>
    <cellStyle name="Normal 4 6 2 4 2 3" xfId="11541" xr:uid="{2647DF02-359C-4435-82AF-4A4D8393AC80}"/>
    <cellStyle name="Normal 4 6 2 4 3" xfId="5185" xr:uid="{00000000-0005-0000-0000-000042160000}"/>
    <cellStyle name="Normal 4 6 2 4 3 2" xfId="13614" xr:uid="{31B2D972-78F4-4927-81CD-A10C9EADA40D}"/>
    <cellStyle name="Normal 4 6 2 4 4" xfId="9396" xr:uid="{1C826C0B-FD60-40E1-8775-2FFBB821BC48}"/>
    <cellStyle name="Normal 4 6 2 5" xfId="1289" xr:uid="{00000000-0005-0000-0000-000043160000}"/>
    <cellStyle name="Normal 4 6 2 5 2" xfId="3519" xr:uid="{00000000-0005-0000-0000-000044160000}"/>
    <cellStyle name="Normal 4 6 2 5 2 2" xfId="7743" xr:uid="{00000000-0005-0000-0000-000045160000}"/>
    <cellStyle name="Normal 4 6 2 5 2 2 2" xfId="16172" xr:uid="{C1ACF90E-2B47-4F9D-83CF-34FD74023768}"/>
    <cellStyle name="Normal 4 6 2 5 2 3" xfId="11954" xr:uid="{70540570-23EE-48F1-A1E3-CCFD4E71632D}"/>
    <cellStyle name="Normal 4 6 2 5 3" xfId="5598" xr:uid="{00000000-0005-0000-0000-000046160000}"/>
    <cellStyle name="Normal 4 6 2 5 3 2" xfId="14027" xr:uid="{2852339A-9649-4E0A-A1A5-C791A1DE35B1}"/>
    <cellStyle name="Normal 4 6 2 5 4" xfId="9809" xr:uid="{6D96E924-A250-4477-931F-03DFEAAA7C0A}"/>
    <cellStyle name="Normal 4 6 2 6" xfId="1702" xr:uid="{00000000-0005-0000-0000-000047160000}"/>
    <cellStyle name="Normal 4 6 2 6 2" xfId="3932" xr:uid="{00000000-0005-0000-0000-000048160000}"/>
    <cellStyle name="Normal 4 6 2 6 2 2" xfId="8156" xr:uid="{00000000-0005-0000-0000-000049160000}"/>
    <cellStyle name="Normal 4 6 2 6 2 2 2" xfId="16585" xr:uid="{4DE65185-5E83-495F-BD4A-79DBBE921A3F}"/>
    <cellStyle name="Normal 4 6 2 6 2 3" xfId="12367" xr:uid="{275E1F55-47C7-40F3-B3FE-70BDE38EFB3D}"/>
    <cellStyle name="Normal 4 6 2 6 3" xfId="6011" xr:uid="{00000000-0005-0000-0000-00004A160000}"/>
    <cellStyle name="Normal 4 6 2 6 3 2" xfId="14440" xr:uid="{9760C7C1-F4DF-43EE-AFB4-C5401EE270E4}"/>
    <cellStyle name="Normal 4 6 2 6 4" xfId="10222" xr:uid="{87C3BA04-9871-456F-A302-B87B9125328A}"/>
    <cellStyle name="Normal 4 6 2 7" xfId="2116" xr:uid="{00000000-0005-0000-0000-00004B160000}"/>
    <cellStyle name="Normal 4 6 2 7 2" xfId="4345" xr:uid="{00000000-0005-0000-0000-00004C160000}"/>
    <cellStyle name="Normal 4 6 2 7 2 2" xfId="8569" xr:uid="{00000000-0005-0000-0000-00004D160000}"/>
    <cellStyle name="Normal 4 6 2 7 2 2 2" xfId="16998" xr:uid="{7013C52B-95C3-4D1F-808A-ADA23315E20B}"/>
    <cellStyle name="Normal 4 6 2 7 2 3" xfId="12780" xr:uid="{0DED4A55-1B21-4F58-BECA-AE6B9704E61E}"/>
    <cellStyle name="Normal 4 6 2 7 3" xfId="6424" xr:uid="{00000000-0005-0000-0000-00004E160000}"/>
    <cellStyle name="Normal 4 6 2 7 3 2" xfId="14853" xr:uid="{C832D790-E604-4595-903E-881DB44E0D02}"/>
    <cellStyle name="Normal 4 6 2 7 4" xfId="10635" xr:uid="{A489B2BE-C62C-4F80-BB19-025512C76A55}"/>
    <cellStyle name="Normal 4 6 2 8" xfId="2552" xr:uid="{00000000-0005-0000-0000-00004F160000}"/>
    <cellStyle name="Normal 4 6 2 8 2" xfId="6837" xr:uid="{00000000-0005-0000-0000-000050160000}"/>
    <cellStyle name="Normal 4 6 2 8 2 2" xfId="15266" xr:uid="{1F7DED21-695F-4449-8BE8-4C6936008378}"/>
    <cellStyle name="Normal 4 6 2 8 3" xfId="11048" xr:uid="{6B772C59-D54C-49CA-94AF-B11C4653D48C}"/>
    <cellStyle name="Normal 4 6 2 9" xfId="4772" xr:uid="{00000000-0005-0000-0000-000051160000}"/>
    <cellStyle name="Normal 4 6 2 9 2" xfId="13201" xr:uid="{BE9BD6E1-8C80-438D-8B1C-04059DA5CC62}"/>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2 2" xfId="15764" xr:uid="{B7AA00D1-8A61-4F49-ABC4-F01C9FD101F9}"/>
    <cellStyle name="Normal 4 6 3 2 2 2 3" xfId="11546" xr:uid="{EA96A363-FBC1-4053-B5CC-280965D1D54A}"/>
    <cellStyle name="Normal 4 6 3 2 2 3" xfId="5190" xr:uid="{00000000-0005-0000-0000-000057160000}"/>
    <cellStyle name="Normal 4 6 3 2 2 3 2" xfId="13619" xr:uid="{0975078D-880D-4921-A213-15A439A6E519}"/>
    <cellStyle name="Normal 4 6 3 2 2 4" xfId="9401" xr:uid="{976FA95D-C9AF-44F4-9261-0E58BEB05B00}"/>
    <cellStyle name="Normal 4 6 3 2 3" xfId="1294" xr:uid="{00000000-0005-0000-0000-000058160000}"/>
    <cellStyle name="Normal 4 6 3 2 3 2" xfId="3524" xr:uid="{00000000-0005-0000-0000-000059160000}"/>
    <cellStyle name="Normal 4 6 3 2 3 2 2" xfId="7748" xr:uid="{00000000-0005-0000-0000-00005A160000}"/>
    <cellStyle name="Normal 4 6 3 2 3 2 2 2" xfId="16177" xr:uid="{FEBB17E4-86E2-452B-B3B9-73950F20E88E}"/>
    <cellStyle name="Normal 4 6 3 2 3 2 3" xfId="11959" xr:uid="{21F2A4BF-0B0B-454D-865E-B61FEC4D0AFC}"/>
    <cellStyle name="Normal 4 6 3 2 3 3" xfId="5603" xr:uid="{00000000-0005-0000-0000-00005B160000}"/>
    <cellStyle name="Normal 4 6 3 2 3 3 2" xfId="14032" xr:uid="{D4287C50-EB2D-4622-8A55-CE463223BF0E}"/>
    <cellStyle name="Normal 4 6 3 2 3 4" xfId="9814" xr:uid="{9966788D-7B1B-4A09-93BD-01E28A46A808}"/>
    <cellStyle name="Normal 4 6 3 2 4" xfId="1707" xr:uid="{00000000-0005-0000-0000-00005C160000}"/>
    <cellStyle name="Normal 4 6 3 2 4 2" xfId="3937" xr:uid="{00000000-0005-0000-0000-00005D160000}"/>
    <cellStyle name="Normal 4 6 3 2 4 2 2" xfId="8161" xr:uid="{00000000-0005-0000-0000-00005E160000}"/>
    <cellStyle name="Normal 4 6 3 2 4 2 2 2" xfId="16590" xr:uid="{44470CDF-FBE3-471B-9E91-D76A783BDA6E}"/>
    <cellStyle name="Normal 4 6 3 2 4 2 3" xfId="12372" xr:uid="{2290DC8C-0CB9-490E-A4B6-D724E671D425}"/>
    <cellStyle name="Normal 4 6 3 2 4 3" xfId="6016" xr:uid="{00000000-0005-0000-0000-00005F160000}"/>
    <cellStyle name="Normal 4 6 3 2 4 3 2" xfId="14445" xr:uid="{48D602C8-D6D6-4E5F-A666-AEC20DA5DCF9}"/>
    <cellStyle name="Normal 4 6 3 2 4 4" xfId="10227" xr:uid="{E21B8FB5-CBFA-46C8-8E9C-B0F175064531}"/>
    <cellStyle name="Normal 4 6 3 2 5" xfId="2121" xr:uid="{00000000-0005-0000-0000-000060160000}"/>
    <cellStyle name="Normal 4 6 3 2 5 2" xfId="4350" xr:uid="{00000000-0005-0000-0000-000061160000}"/>
    <cellStyle name="Normal 4 6 3 2 5 2 2" xfId="8574" xr:uid="{00000000-0005-0000-0000-000062160000}"/>
    <cellStyle name="Normal 4 6 3 2 5 2 2 2" xfId="17003" xr:uid="{3485E43E-9C83-4709-A914-73FF2091F13C}"/>
    <cellStyle name="Normal 4 6 3 2 5 2 3" xfId="12785" xr:uid="{509C76C7-E749-42D8-825C-4475C61A9C1B}"/>
    <cellStyle name="Normal 4 6 3 2 5 3" xfId="6429" xr:uid="{00000000-0005-0000-0000-000063160000}"/>
    <cellStyle name="Normal 4 6 3 2 5 3 2" xfId="14858" xr:uid="{A1D276FF-51DF-4BF0-9407-157CDBA20DA7}"/>
    <cellStyle name="Normal 4 6 3 2 5 4" xfId="10640" xr:uid="{B205A141-9345-45C3-BA22-B2AE4BCE1483}"/>
    <cellStyle name="Normal 4 6 3 2 6" xfId="2557" xr:uid="{00000000-0005-0000-0000-000064160000}"/>
    <cellStyle name="Normal 4 6 3 2 6 2" xfId="6842" xr:uid="{00000000-0005-0000-0000-000065160000}"/>
    <cellStyle name="Normal 4 6 3 2 6 2 2" xfId="15271" xr:uid="{78C574B4-13A2-4975-9F6B-EB0F68909793}"/>
    <cellStyle name="Normal 4 6 3 2 6 3" xfId="11053" xr:uid="{87F0E9C0-8FF2-4FD7-8D33-7731DDFFEB82}"/>
    <cellStyle name="Normal 4 6 3 2 7" xfId="4777" xr:uid="{00000000-0005-0000-0000-000066160000}"/>
    <cellStyle name="Normal 4 6 3 2 7 2" xfId="13206" xr:uid="{77437EAB-9ACE-4C2C-B5C1-57CEC8E02C2F}"/>
    <cellStyle name="Normal 4 6 3 2 8" xfId="8988" xr:uid="{B7E1D70F-6706-423C-893B-59105DB300E0}"/>
    <cellStyle name="Normal 4 6 3 3" xfId="875" xr:uid="{00000000-0005-0000-0000-000067160000}"/>
    <cellStyle name="Normal 4 6 3 3 2" xfId="3110" xr:uid="{00000000-0005-0000-0000-000068160000}"/>
    <cellStyle name="Normal 4 6 3 3 2 2" xfId="7334" xr:uid="{00000000-0005-0000-0000-000069160000}"/>
    <cellStyle name="Normal 4 6 3 3 2 2 2" xfId="15763" xr:uid="{443D3CEA-0C93-429C-AA12-49C76B32501B}"/>
    <cellStyle name="Normal 4 6 3 3 2 3" xfId="11545" xr:uid="{786C89F2-8500-4A7C-96BD-8DF73BFC1802}"/>
    <cellStyle name="Normal 4 6 3 3 3" xfId="5189" xr:uid="{00000000-0005-0000-0000-00006A160000}"/>
    <cellStyle name="Normal 4 6 3 3 3 2" xfId="13618" xr:uid="{E2DA6ADA-11B9-43B6-B644-D56ADC9DA01E}"/>
    <cellStyle name="Normal 4 6 3 3 4" xfId="9400" xr:uid="{33C284BE-1D64-4CAD-87E3-C665295764C9}"/>
    <cellStyle name="Normal 4 6 3 4" xfId="1293" xr:uid="{00000000-0005-0000-0000-00006B160000}"/>
    <cellStyle name="Normal 4 6 3 4 2" xfId="3523" xr:uid="{00000000-0005-0000-0000-00006C160000}"/>
    <cellStyle name="Normal 4 6 3 4 2 2" xfId="7747" xr:uid="{00000000-0005-0000-0000-00006D160000}"/>
    <cellStyle name="Normal 4 6 3 4 2 2 2" xfId="16176" xr:uid="{DAC51A94-232E-42DC-9FEA-00041D14D8DB}"/>
    <cellStyle name="Normal 4 6 3 4 2 3" xfId="11958" xr:uid="{429B3E86-9F1D-4285-BD1F-10B5393CCC17}"/>
    <cellStyle name="Normal 4 6 3 4 3" xfId="5602" xr:uid="{00000000-0005-0000-0000-00006E160000}"/>
    <cellStyle name="Normal 4 6 3 4 3 2" xfId="14031" xr:uid="{F2BDF81E-09D0-4D0F-8B5C-6C1ED398E3EF}"/>
    <cellStyle name="Normal 4 6 3 4 4" xfId="9813" xr:uid="{46274992-D491-4DE2-BE20-90F8B70B805C}"/>
    <cellStyle name="Normal 4 6 3 5" xfId="1706" xr:uid="{00000000-0005-0000-0000-00006F160000}"/>
    <cellStyle name="Normal 4 6 3 5 2" xfId="3936" xr:uid="{00000000-0005-0000-0000-000070160000}"/>
    <cellStyle name="Normal 4 6 3 5 2 2" xfId="8160" xr:uid="{00000000-0005-0000-0000-000071160000}"/>
    <cellStyle name="Normal 4 6 3 5 2 2 2" xfId="16589" xr:uid="{D9882561-43D5-43A9-B16F-742ACCAE6E56}"/>
    <cellStyle name="Normal 4 6 3 5 2 3" xfId="12371" xr:uid="{149083B4-C29A-4A85-A649-27F7164D2C3A}"/>
    <cellStyle name="Normal 4 6 3 5 3" xfId="6015" xr:uid="{00000000-0005-0000-0000-000072160000}"/>
    <cellStyle name="Normal 4 6 3 5 3 2" xfId="14444" xr:uid="{25AE62AC-59A6-4BD5-95DD-302F462D6A17}"/>
    <cellStyle name="Normal 4 6 3 5 4" xfId="10226" xr:uid="{CFE9A909-A044-4E59-BE11-4744DD652182}"/>
    <cellStyle name="Normal 4 6 3 6" xfId="2120" xr:uid="{00000000-0005-0000-0000-000073160000}"/>
    <cellStyle name="Normal 4 6 3 6 2" xfId="4349" xr:uid="{00000000-0005-0000-0000-000074160000}"/>
    <cellStyle name="Normal 4 6 3 6 2 2" xfId="8573" xr:uid="{00000000-0005-0000-0000-000075160000}"/>
    <cellStyle name="Normal 4 6 3 6 2 2 2" xfId="17002" xr:uid="{8FE147E0-5E67-458B-8A61-37A596D9334A}"/>
    <cellStyle name="Normal 4 6 3 6 2 3" xfId="12784" xr:uid="{64A8E66F-D3C6-4DA6-9F18-C9ABFC7AFBED}"/>
    <cellStyle name="Normal 4 6 3 6 3" xfId="6428" xr:uid="{00000000-0005-0000-0000-000076160000}"/>
    <cellStyle name="Normal 4 6 3 6 3 2" xfId="14857" xr:uid="{E2551677-8313-499F-B04A-ED52677B4EB8}"/>
    <cellStyle name="Normal 4 6 3 6 4" xfId="10639" xr:uid="{9B93A418-1055-497D-A891-CCDF1E987D60}"/>
    <cellStyle name="Normal 4 6 3 7" xfId="2556" xr:uid="{00000000-0005-0000-0000-000077160000}"/>
    <cellStyle name="Normal 4 6 3 7 2" xfId="6841" xr:uid="{00000000-0005-0000-0000-000078160000}"/>
    <cellStyle name="Normal 4 6 3 7 2 2" xfId="15270" xr:uid="{A9D119A4-74D0-4BE4-968E-76CB25A5F333}"/>
    <cellStyle name="Normal 4 6 3 7 3" xfId="11052" xr:uid="{70C9FD93-1AA8-44DC-981A-6A2B70BFDB4E}"/>
    <cellStyle name="Normal 4 6 3 8" xfId="4776" xr:uid="{00000000-0005-0000-0000-000079160000}"/>
    <cellStyle name="Normal 4 6 3 8 2" xfId="13205" xr:uid="{453ED758-3FE2-4783-9F73-A3A1C034A406}"/>
    <cellStyle name="Normal 4 6 3 9" xfId="8987" xr:uid="{2F4E4DB2-AE9D-48E2-A05B-2CE9E8F07E93}"/>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2 2" xfId="15765" xr:uid="{8566E592-D664-41E9-B4C7-F2E070F69541}"/>
    <cellStyle name="Normal 4 6 4 2 2 3" xfId="11547" xr:uid="{806BF472-781D-4795-ABE6-92224E0FB58D}"/>
    <cellStyle name="Normal 4 6 4 2 3" xfId="5191" xr:uid="{00000000-0005-0000-0000-00007E160000}"/>
    <cellStyle name="Normal 4 6 4 2 3 2" xfId="13620" xr:uid="{5D40D202-A551-4BC9-807F-3852409EC3CF}"/>
    <cellStyle name="Normal 4 6 4 2 4" xfId="9402" xr:uid="{131740CD-DE9D-4F70-AC6A-EE50933308F7}"/>
    <cellStyle name="Normal 4 6 4 3" xfId="1295" xr:uid="{00000000-0005-0000-0000-00007F160000}"/>
    <cellStyle name="Normal 4 6 4 3 2" xfId="3525" xr:uid="{00000000-0005-0000-0000-000080160000}"/>
    <cellStyle name="Normal 4 6 4 3 2 2" xfId="7749" xr:uid="{00000000-0005-0000-0000-000081160000}"/>
    <cellStyle name="Normal 4 6 4 3 2 2 2" xfId="16178" xr:uid="{FCBE5918-D438-45F4-B337-CBE91B3E0BB1}"/>
    <cellStyle name="Normal 4 6 4 3 2 3" xfId="11960" xr:uid="{C09D82D5-89CD-4EE4-AEB0-4F33C7C107CB}"/>
    <cellStyle name="Normal 4 6 4 3 3" xfId="5604" xr:uid="{00000000-0005-0000-0000-000082160000}"/>
    <cellStyle name="Normal 4 6 4 3 3 2" xfId="14033" xr:uid="{FA8BAFAB-FEDF-45BA-9547-1865F01BC11D}"/>
    <cellStyle name="Normal 4 6 4 3 4" xfId="9815" xr:uid="{6BE01070-A41D-4039-B586-3151068BF6EF}"/>
    <cellStyle name="Normal 4 6 4 4" xfId="1708" xr:uid="{00000000-0005-0000-0000-000083160000}"/>
    <cellStyle name="Normal 4 6 4 4 2" xfId="3938" xr:uid="{00000000-0005-0000-0000-000084160000}"/>
    <cellStyle name="Normal 4 6 4 4 2 2" xfId="8162" xr:uid="{00000000-0005-0000-0000-000085160000}"/>
    <cellStyle name="Normal 4 6 4 4 2 2 2" xfId="16591" xr:uid="{396D03AB-2BB9-4E0A-8A8B-4A147261EA28}"/>
    <cellStyle name="Normal 4 6 4 4 2 3" xfId="12373" xr:uid="{B70A61E4-B671-439B-8C0E-707038093374}"/>
    <cellStyle name="Normal 4 6 4 4 3" xfId="6017" xr:uid="{00000000-0005-0000-0000-000086160000}"/>
    <cellStyle name="Normal 4 6 4 4 3 2" xfId="14446" xr:uid="{7AF2A315-2EBD-4952-91AD-3EEC7468B601}"/>
    <cellStyle name="Normal 4 6 4 4 4" xfId="10228" xr:uid="{38F9B381-AFC8-40A3-94CB-3369ACE80027}"/>
    <cellStyle name="Normal 4 6 4 5" xfId="2122" xr:uid="{00000000-0005-0000-0000-000087160000}"/>
    <cellStyle name="Normal 4 6 4 5 2" xfId="4351" xr:uid="{00000000-0005-0000-0000-000088160000}"/>
    <cellStyle name="Normal 4 6 4 5 2 2" xfId="8575" xr:uid="{00000000-0005-0000-0000-000089160000}"/>
    <cellStyle name="Normal 4 6 4 5 2 2 2" xfId="17004" xr:uid="{373D879E-CF20-464A-84D0-6B8D5C0DE40C}"/>
    <cellStyle name="Normal 4 6 4 5 2 3" xfId="12786" xr:uid="{C58D49A7-6984-49F5-BED7-E266E2E473EB}"/>
    <cellStyle name="Normal 4 6 4 5 3" xfId="6430" xr:uid="{00000000-0005-0000-0000-00008A160000}"/>
    <cellStyle name="Normal 4 6 4 5 3 2" xfId="14859" xr:uid="{1F29A212-1CF2-4E31-89AD-FC07EFCECD8C}"/>
    <cellStyle name="Normal 4 6 4 5 4" xfId="10641" xr:uid="{1DFA3ECC-554F-4F09-9E39-6D9D57BD0D46}"/>
    <cellStyle name="Normal 4 6 4 6" xfId="2558" xr:uid="{00000000-0005-0000-0000-00008B160000}"/>
    <cellStyle name="Normal 4 6 4 6 2" xfId="6843" xr:uid="{00000000-0005-0000-0000-00008C160000}"/>
    <cellStyle name="Normal 4 6 4 6 2 2" xfId="15272" xr:uid="{0308EBB6-584F-4C39-9357-CBF61018F98A}"/>
    <cellStyle name="Normal 4 6 4 6 3" xfId="11054" xr:uid="{5AE177A8-5FAB-41FC-A72F-DF3BD6EDCFFB}"/>
    <cellStyle name="Normal 4 6 4 7" xfId="4778" xr:uid="{00000000-0005-0000-0000-00008D160000}"/>
    <cellStyle name="Normal 4 6 4 7 2" xfId="13207" xr:uid="{B8E53469-CA78-4ECE-8D19-CF428CE67819}"/>
    <cellStyle name="Normal 4 6 4 8" xfId="8989" xr:uid="{9977A347-F6AB-4C36-B5B7-CDCDA96FDE76}"/>
    <cellStyle name="Normal 4 6 5" xfId="870" xr:uid="{00000000-0005-0000-0000-00008E160000}"/>
    <cellStyle name="Normal 4 6 5 2" xfId="3105" xr:uid="{00000000-0005-0000-0000-00008F160000}"/>
    <cellStyle name="Normal 4 6 5 2 2" xfId="7329" xr:uid="{00000000-0005-0000-0000-000090160000}"/>
    <cellStyle name="Normal 4 6 5 2 2 2" xfId="15758" xr:uid="{4697013A-E9FC-414A-8886-9A2DF68A5F63}"/>
    <cellStyle name="Normal 4 6 5 2 3" xfId="11540" xr:uid="{81EFB235-C363-4F7A-AB2E-C5244A07AB4E}"/>
    <cellStyle name="Normal 4 6 5 3" xfId="5184" xr:uid="{00000000-0005-0000-0000-000091160000}"/>
    <cellStyle name="Normal 4 6 5 3 2" xfId="13613" xr:uid="{DB7BCD42-2F79-4C97-A2D4-C0FE55DFE02B}"/>
    <cellStyle name="Normal 4 6 5 4" xfId="9395" xr:uid="{67200C20-89CF-4264-825F-CC2F18978CE1}"/>
    <cellStyle name="Normal 4 6 6" xfId="1288" xr:uid="{00000000-0005-0000-0000-000092160000}"/>
    <cellStyle name="Normal 4 6 6 2" xfId="3518" xr:uid="{00000000-0005-0000-0000-000093160000}"/>
    <cellStyle name="Normal 4 6 6 2 2" xfId="7742" xr:uid="{00000000-0005-0000-0000-000094160000}"/>
    <cellStyle name="Normal 4 6 6 2 2 2" xfId="16171" xr:uid="{245841D4-CD0F-4BFC-B390-AE1245DE5048}"/>
    <cellStyle name="Normal 4 6 6 2 3" xfId="11953" xr:uid="{B79B6D33-B5C6-42A1-AC3E-4D033D2D0074}"/>
    <cellStyle name="Normal 4 6 6 3" xfId="5597" xr:uid="{00000000-0005-0000-0000-000095160000}"/>
    <cellStyle name="Normal 4 6 6 3 2" xfId="14026" xr:uid="{22C831AB-A39A-4B10-84E8-4AB6C5D079F4}"/>
    <cellStyle name="Normal 4 6 6 4" xfId="9808" xr:uid="{31984A62-FF30-4FA6-84B3-EE574D8D72AB}"/>
    <cellStyle name="Normal 4 6 7" xfId="1701" xr:uid="{00000000-0005-0000-0000-000096160000}"/>
    <cellStyle name="Normal 4 6 7 2" xfId="3931" xr:uid="{00000000-0005-0000-0000-000097160000}"/>
    <cellStyle name="Normal 4 6 7 2 2" xfId="8155" xr:uid="{00000000-0005-0000-0000-000098160000}"/>
    <cellStyle name="Normal 4 6 7 2 2 2" xfId="16584" xr:uid="{18933FD1-E89C-4BDA-BACC-2F0A7D0E315C}"/>
    <cellStyle name="Normal 4 6 7 2 3" xfId="12366" xr:uid="{33DCBC39-DE5C-4C86-B8F7-995033E0B37E}"/>
    <cellStyle name="Normal 4 6 7 3" xfId="6010" xr:uid="{00000000-0005-0000-0000-000099160000}"/>
    <cellStyle name="Normal 4 6 7 3 2" xfId="14439" xr:uid="{12F4BFB5-58B3-4673-9970-DD652201BB75}"/>
    <cellStyle name="Normal 4 6 7 4" xfId="10221" xr:uid="{0BC0F618-22E3-4D6B-87B0-CAF774E912A3}"/>
    <cellStyle name="Normal 4 6 8" xfId="2115" xr:uid="{00000000-0005-0000-0000-00009A160000}"/>
    <cellStyle name="Normal 4 6 8 2" xfId="4344" xr:uid="{00000000-0005-0000-0000-00009B160000}"/>
    <cellStyle name="Normal 4 6 8 2 2" xfId="8568" xr:uid="{00000000-0005-0000-0000-00009C160000}"/>
    <cellStyle name="Normal 4 6 8 2 2 2" xfId="16997" xr:uid="{AE0B30D7-1C22-4B98-A1BC-C1BF03D18CA5}"/>
    <cellStyle name="Normal 4 6 8 2 3" xfId="12779" xr:uid="{4305559D-E2DA-4BE1-B094-EEF4B6FD35E7}"/>
    <cellStyle name="Normal 4 6 8 3" xfId="6423" xr:uid="{00000000-0005-0000-0000-00009D160000}"/>
    <cellStyle name="Normal 4 6 8 3 2" xfId="14852" xr:uid="{DE17E628-2400-4AC4-8A29-EEC951D862D1}"/>
    <cellStyle name="Normal 4 6 8 4" xfId="10634" xr:uid="{E57C54D0-E8E1-4AD8-A6DC-C58A3207AE67}"/>
    <cellStyle name="Normal 4 6 9" xfId="2551" xr:uid="{00000000-0005-0000-0000-00009E160000}"/>
    <cellStyle name="Normal 4 6 9 2" xfId="6836" xr:uid="{00000000-0005-0000-0000-00009F160000}"/>
    <cellStyle name="Normal 4 6 9 2 2" xfId="15265" xr:uid="{ADEC8BA2-C834-483C-9BB0-9570F2ADD431}"/>
    <cellStyle name="Normal 4 6 9 3" xfId="11047" xr:uid="{32228051-28A5-4DEE-8212-24734903A075}"/>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2 2" xfId="15767" xr:uid="{1721301E-D016-488F-907F-0906A56F2F67}"/>
    <cellStyle name="Normal 4 7 2 2 2 3" xfId="11549" xr:uid="{23233E3A-5ACF-4308-B00A-52F77E485FFF}"/>
    <cellStyle name="Normal 4 7 2 2 3" xfId="5193" xr:uid="{00000000-0005-0000-0000-0000A5160000}"/>
    <cellStyle name="Normal 4 7 2 2 3 2" xfId="13622" xr:uid="{2E91F910-42CA-4674-9093-25104D713DD0}"/>
    <cellStyle name="Normal 4 7 2 2 4" xfId="9404" xr:uid="{D5858639-1BA2-4712-B217-6B8BB55C4FE3}"/>
    <cellStyle name="Normal 4 7 2 3" xfId="1297" xr:uid="{00000000-0005-0000-0000-0000A6160000}"/>
    <cellStyle name="Normal 4 7 2 3 2" xfId="3527" xr:uid="{00000000-0005-0000-0000-0000A7160000}"/>
    <cellStyle name="Normal 4 7 2 3 2 2" xfId="7751" xr:uid="{00000000-0005-0000-0000-0000A8160000}"/>
    <cellStyle name="Normal 4 7 2 3 2 2 2" xfId="16180" xr:uid="{5541E5FD-0785-45F4-8D7F-A10F8CE9365F}"/>
    <cellStyle name="Normal 4 7 2 3 2 3" xfId="11962" xr:uid="{BE32A1BC-9F1C-4A98-B4DD-CA4260E7E20A}"/>
    <cellStyle name="Normal 4 7 2 3 3" xfId="5606" xr:uid="{00000000-0005-0000-0000-0000A9160000}"/>
    <cellStyle name="Normal 4 7 2 3 3 2" xfId="14035" xr:uid="{BF1F531F-7EF9-4740-8F86-63F147C01AF5}"/>
    <cellStyle name="Normal 4 7 2 3 4" xfId="9817" xr:uid="{9C4B31A9-B129-4430-AE53-032B7A66369E}"/>
    <cellStyle name="Normal 4 7 2 4" xfId="1710" xr:uid="{00000000-0005-0000-0000-0000AA160000}"/>
    <cellStyle name="Normal 4 7 2 4 2" xfId="3940" xr:uid="{00000000-0005-0000-0000-0000AB160000}"/>
    <cellStyle name="Normal 4 7 2 4 2 2" xfId="8164" xr:uid="{00000000-0005-0000-0000-0000AC160000}"/>
    <cellStyle name="Normal 4 7 2 4 2 2 2" xfId="16593" xr:uid="{D4730601-3464-42DC-8501-34DD68FDF467}"/>
    <cellStyle name="Normal 4 7 2 4 2 3" xfId="12375" xr:uid="{561FBF6B-7F69-40E8-9471-57267FEB5719}"/>
    <cellStyle name="Normal 4 7 2 4 3" xfId="6019" xr:uid="{00000000-0005-0000-0000-0000AD160000}"/>
    <cellStyle name="Normal 4 7 2 4 3 2" xfId="14448" xr:uid="{BAB51834-2EE0-4CF8-AF58-193DEC33ACD7}"/>
    <cellStyle name="Normal 4 7 2 4 4" xfId="10230" xr:uid="{F36EBF60-BA90-41C4-B7A4-F1E2A723978E}"/>
    <cellStyle name="Normal 4 7 2 5" xfId="2124" xr:uid="{00000000-0005-0000-0000-0000AE160000}"/>
    <cellStyle name="Normal 4 7 2 5 2" xfId="4353" xr:uid="{00000000-0005-0000-0000-0000AF160000}"/>
    <cellStyle name="Normal 4 7 2 5 2 2" xfId="8577" xr:uid="{00000000-0005-0000-0000-0000B0160000}"/>
    <cellStyle name="Normal 4 7 2 5 2 2 2" xfId="17006" xr:uid="{707975DD-4EAA-4F5B-82C1-97D3D3FECC0A}"/>
    <cellStyle name="Normal 4 7 2 5 2 3" xfId="12788" xr:uid="{8C623532-53E9-495F-8DA5-786027C133DF}"/>
    <cellStyle name="Normal 4 7 2 5 3" xfId="6432" xr:uid="{00000000-0005-0000-0000-0000B1160000}"/>
    <cellStyle name="Normal 4 7 2 5 3 2" xfId="14861" xr:uid="{11F66149-FDA3-476A-9CCA-93A8F39E31F4}"/>
    <cellStyle name="Normal 4 7 2 5 4" xfId="10643" xr:uid="{09ABFD62-F9DD-45DB-961F-E2EF8A47943A}"/>
    <cellStyle name="Normal 4 7 2 6" xfId="2560" xr:uid="{00000000-0005-0000-0000-0000B2160000}"/>
    <cellStyle name="Normal 4 7 2 6 2" xfId="6845" xr:uid="{00000000-0005-0000-0000-0000B3160000}"/>
    <cellStyle name="Normal 4 7 2 6 2 2" xfId="15274" xr:uid="{3FC52790-80F4-46D3-9376-C7D6A7CB8633}"/>
    <cellStyle name="Normal 4 7 2 6 3" xfId="11056" xr:uid="{760CD312-EFF3-49C2-B886-F6733E28C154}"/>
    <cellStyle name="Normal 4 7 2 7" xfId="4780" xr:uid="{00000000-0005-0000-0000-0000B4160000}"/>
    <cellStyle name="Normal 4 7 2 7 2" xfId="13209" xr:uid="{DCD70E30-2A2E-4986-B87B-E2E9ED0B91D3}"/>
    <cellStyle name="Normal 4 7 2 8" xfId="8991" xr:uid="{E233E60F-B064-4EDD-AB2F-09FE6F6459B9}"/>
    <cellStyle name="Normal 4 7 3" xfId="878" xr:uid="{00000000-0005-0000-0000-0000B5160000}"/>
    <cellStyle name="Normal 4 7 3 2" xfId="3113" xr:uid="{00000000-0005-0000-0000-0000B6160000}"/>
    <cellStyle name="Normal 4 7 3 2 2" xfId="7337" xr:uid="{00000000-0005-0000-0000-0000B7160000}"/>
    <cellStyle name="Normal 4 7 3 2 2 2" xfId="15766" xr:uid="{D940E86B-89D4-4B89-8234-6C10F9DF3CB0}"/>
    <cellStyle name="Normal 4 7 3 2 3" xfId="11548" xr:uid="{95103917-0AD0-4BD2-B7C2-65E56C33C1C4}"/>
    <cellStyle name="Normal 4 7 3 3" xfId="5192" xr:uid="{00000000-0005-0000-0000-0000B8160000}"/>
    <cellStyle name="Normal 4 7 3 3 2" xfId="13621" xr:uid="{445BD64B-9D6F-48E6-BB82-00633F6752DA}"/>
    <cellStyle name="Normal 4 7 3 4" xfId="9403" xr:uid="{8DD4D93C-C05C-413B-A89B-2230FD3C8A43}"/>
    <cellStyle name="Normal 4 7 4" xfId="1296" xr:uid="{00000000-0005-0000-0000-0000B9160000}"/>
    <cellStyle name="Normal 4 7 4 2" xfId="3526" xr:uid="{00000000-0005-0000-0000-0000BA160000}"/>
    <cellStyle name="Normal 4 7 4 2 2" xfId="7750" xr:uid="{00000000-0005-0000-0000-0000BB160000}"/>
    <cellStyle name="Normal 4 7 4 2 2 2" xfId="16179" xr:uid="{E75634DC-62AC-4B7D-A4CB-FF90FDBF0A2A}"/>
    <cellStyle name="Normal 4 7 4 2 3" xfId="11961" xr:uid="{78816480-1C08-4A40-B0C1-4D63586E8FCD}"/>
    <cellStyle name="Normal 4 7 4 3" xfId="5605" xr:uid="{00000000-0005-0000-0000-0000BC160000}"/>
    <cellStyle name="Normal 4 7 4 3 2" xfId="14034" xr:uid="{DFAD43F1-5F61-4036-8EBC-BFF5CE0F6825}"/>
    <cellStyle name="Normal 4 7 4 4" xfId="9816" xr:uid="{D6F7BB92-A178-4513-9FA7-091A4F15DAD1}"/>
    <cellStyle name="Normal 4 7 5" xfId="1709" xr:uid="{00000000-0005-0000-0000-0000BD160000}"/>
    <cellStyle name="Normal 4 7 5 2" xfId="3939" xr:uid="{00000000-0005-0000-0000-0000BE160000}"/>
    <cellStyle name="Normal 4 7 5 2 2" xfId="8163" xr:uid="{00000000-0005-0000-0000-0000BF160000}"/>
    <cellStyle name="Normal 4 7 5 2 2 2" xfId="16592" xr:uid="{6CEA78F8-8110-43A4-8AC7-F559FB2FE545}"/>
    <cellStyle name="Normal 4 7 5 2 3" xfId="12374" xr:uid="{BEC294F0-FA46-4E38-B199-138469EB1D3D}"/>
    <cellStyle name="Normal 4 7 5 3" xfId="6018" xr:uid="{00000000-0005-0000-0000-0000C0160000}"/>
    <cellStyle name="Normal 4 7 5 3 2" xfId="14447" xr:uid="{5CFF0C59-BE86-4AD5-8FD1-E764495B7C98}"/>
    <cellStyle name="Normal 4 7 5 4" xfId="10229" xr:uid="{53E01E9C-B544-42F7-8B76-43F2F6B16689}"/>
    <cellStyle name="Normal 4 7 6" xfId="2123" xr:uid="{00000000-0005-0000-0000-0000C1160000}"/>
    <cellStyle name="Normal 4 7 6 2" xfId="4352" xr:uid="{00000000-0005-0000-0000-0000C2160000}"/>
    <cellStyle name="Normal 4 7 6 2 2" xfId="8576" xr:uid="{00000000-0005-0000-0000-0000C3160000}"/>
    <cellStyle name="Normal 4 7 6 2 2 2" xfId="17005" xr:uid="{81914E50-C138-44B5-9050-1875745773B8}"/>
    <cellStyle name="Normal 4 7 6 2 3" xfId="12787" xr:uid="{64563A67-424E-465E-B340-3AB266A98AD3}"/>
    <cellStyle name="Normal 4 7 6 3" xfId="6431" xr:uid="{00000000-0005-0000-0000-0000C4160000}"/>
    <cellStyle name="Normal 4 7 6 3 2" xfId="14860" xr:uid="{789479C1-449B-41BE-948B-C12ACE0F89EF}"/>
    <cellStyle name="Normal 4 7 6 4" xfId="10642" xr:uid="{49B4D40D-73A3-4607-B578-E4177A79B9BF}"/>
    <cellStyle name="Normal 4 7 7" xfId="2559" xr:uid="{00000000-0005-0000-0000-0000C5160000}"/>
    <cellStyle name="Normal 4 7 7 2" xfId="6844" xr:uid="{00000000-0005-0000-0000-0000C6160000}"/>
    <cellStyle name="Normal 4 7 7 2 2" xfId="15273" xr:uid="{282D340C-CFC1-4A98-9BBD-492BCEA6489C}"/>
    <cellStyle name="Normal 4 7 7 3" xfId="11055" xr:uid="{F2159B7C-78F8-4C0E-9AE6-34233A559B0A}"/>
    <cellStyle name="Normal 4 7 8" xfId="4779" xr:uid="{00000000-0005-0000-0000-0000C7160000}"/>
    <cellStyle name="Normal 4 7 8 2" xfId="13208" xr:uid="{C42DD6DE-8D00-4744-87CE-F12BDB1561B7}"/>
    <cellStyle name="Normal 4 7 9" xfId="8990" xr:uid="{273DE955-CC47-4624-AE34-B739E22F46CD}"/>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2 2" xfId="15768" xr:uid="{852EC0B5-C6A0-4950-BEA0-19F27E8D1D38}"/>
    <cellStyle name="Normal 4 8 2 2 3" xfId="11550" xr:uid="{62EA1055-84E4-4BF0-995F-1882137C6983}"/>
    <cellStyle name="Normal 4 8 2 3" xfId="5194" xr:uid="{00000000-0005-0000-0000-0000CC160000}"/>
    <cellStyle name="Normal 4 8 2 3 2" xfId="13623" xr:uid="{4F3B66BE-2738-4E24-970B-3F9509F2C693}"/>
    <cellStyle name="Normal 4 8 2 4" xfId="9405" xr:uid="{8A86EA41-3E27-4A19-B5B8-10E88CAC5A08}"/>
    <cellStyle name="Normal 4 8 3" xfId="1298" xr:uid="{00000000-0005-0000-0000-0000CD160000}"/>
    <cellStyle name="Normal 4 8 3 2" xfId="3528" xr:uid="{00000000-0005-0000-0000-0000CE160000}"/>
    <cellStyle name="Normal 4 8 3 2 2" xfId="7752" xr:uid="{00000000-0005-0000-0000-0000CF160000}"/>
    <cellStyle name="Normal 4 8 3 2 2 2" xfId="16181" xr:uid="{4C71630C-2623-468E-9FE5-4D33EEFCD5CC}"/>
    <cellStyle name="Normal 4 8 3 2 3" xfId="11963" xr:uid="{CE254E47-FDF2-4890-B142-CE249414BE6C}"/>
    <cellStyle name="Normal 4 8 3 3" xfId="5607" xr:uid="{00000000-0005-0000-0000-0000D0160000}"/>
    <cellStyle name="Normal 4 8 3 3 2" xfId="14036" xr:uid="{4BFFD4E3-DAF7-49B6-B103-3AEA1AA885D4}"/>
    <cellStyle name="Normal 4 8 3 4" xfId="9818" xr:uid="{235A555C-42EE-4235-9467-6E9BED0F208C}"/>
    <cellStyle name="Normal 4 8 4" xfId="1711" xr:uid="{00000000-0005-0000-0000-0000D1160000}"/>
    <cellStyle name="Normal 4 8 4 2" xfId="3941" xr:uid="{00000000-0005-0000-0000-0000D2160000}"/>
    <cellStyle name="Normal 4 8 4 2 2" xfId="8165" xr:uid="{00000000-0005-0000-0000-0000D3160000}"/>
    <cellStyle name="Normal 4 8 4 2 2 2" xfId="16594" xr:uid="{3C29BC72-CDDE-4D0B-BAAC-1D2F234E781B}"/>
    <cellStyle name="Normal 4 8 4 2 3" xfId="12376" xr:uid="{B77AF4CB-27B5-4ADD-B298-D6BF63CC383F}"/>
    <cellStyle name="Normal 4 8 4 3" xfId="6020" xr:uid="{00000000-0005-0000-0000-0000D4160000}"/>
    <cellStyle name="Normal 4 8 4 3 2" xfId="14449" xr:uid="{FBEC42A4-5B8D-4FC1-8FAC-8B37D6A46767}"/>
    <cellStyle name="Normal 4 8 4 4" xfId="10231" xr:uid="{FC1B0E19-5B46-406A-BEF2-471D64CA6EE3}"/>
    <cellStyle name="Normal 4 8 5" xfId="2125" xr:uid="{00000000-0005-0000-0000-0000D5160000}"/>
    <cellStyle name="Normal 4 8 5 2" xfId="4354" xr:uid="{00000000-0005-0000-0000-0000D6160000}"/>
    <cellStyle name="Normal 4 8 5 2 2" xfId="8578" xr:uid="{00000000-0005-0000-0000-0000D7160000}"/>
    <cellStyle name="Normal 4 8 5 2 2 2" xfId="17007" xr:uid="{CA752282-6B37-4E9E-90B3-CF15F6AD6BE0}"/>
    <cellStyle name="Normal 4 8 5 2 3" xfId="12789" xr:uid="{70CBF421-61CD-4861-9E16-68AAEF102956}"/>
    <cellStyle name="Normal 4 8 5 3" xfId="6433" xr:uid="{00000000-0005-0000-0000-0000D8160000}"/>
    <cellStyle name="Normal 4 8 5 3 2" xfId="14862" xr:uid="{59BEAD4A-A0D5-4022-9D43-C15554A2728A}"/>
    <cellStyle name="Normal 4 8 5 4" xfId="10644" xr:uid="{7C8D9CD9-C2B7-40DB-A47A-9A8774C91BF0}"/>
    <cellStyle name="Normal 4 8 6" xfId="2561" xr:uid="{00000000-0005-0000-0000-0000D9160000}"/>
    <cellStyle name="Normal 4 8 6 2" xfId="6846" xr:uid="{00000000-0005-0000-0000-0000DA160000}"/>
    <cellStyle name="Normal 4 8 6 2 2" xfId="15275" xr:uid="{B5A7F56D-7C56-44F9-9D9C-C4059E7444EC}"/>
    <cellStyle name="Normal 4 8 6 3" xfId="11057" xr:uid="{79CCC7D7-D57D-4075-AAA8-7209F62D1623}"/>
    <cellStyle name="Normal 4 8 7" xfId="4781" xr:uid="{00000000-0005-0000-0000-0000DB160000}"/>
    <cellStyle name="Normal 4 8 7 2" xfId="13210" xr:uid="{E2B0667A-117C-4BD9-BD96-65F9C3D04209}"/>
    <cellStyle name="Normal 4 8 8" xfId="8992" xr:uid="{7F616E84-6569-483E-A599-8669E1F51705}"/>
    <cellStyle name="Normal 4 9" xfId="4718" xr:uid="{00000000-0005-0000-0000-0000DC160000}"/>
    <cellStyle name="Normal 4 9 2" xfId="13147" xr:uid="{4991DE1D-3CA3-41E4-ABF2-054DB65C77D8}"/>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2 2" xfId="16595" xr:uid="{2D48BB04-391E-44DD-AEB3-D66271B0D800}"/>
    <cellStyle name="Normal 5 10 2 3" xfId="12377" xr:uid="{8D793D72-DB33-4328-8345-6E0CE8224ABE}"/>
    <cellStyle name="Normal 5 10 3" xfId="6021" xr:uid="{00000000-0005-0000-0000-0000E1160000}"/>
    <cellStyle name="Normal 5 10 3 2" xfId="14450" xr:uid="{0BEFE9BE-5988-485E-B5CC-83795AD7D907}"/>
    <cellStyle name="Normal 5 10 4" xfId="10232" xr:uid="{54181DBF-5009-47C6-915C-C5628D986821}"/>
    <cellStyle name="Normal 5 11" xfId="2126" xr:uid="{00000000-0005-0000-0000-0000E2160000}"/>
    <cellStyle name="Normal 5 11 2" xfId="4355" xr:uid="{00000000-0005-0000-0000-0000E3160000}"/>
    <cellStyle name="Normal 5 11 2 2" xfId="8579" xr:uid="{00000000-0005-0000-0000-0000E4160000}"/>
    <cellStyle name="Normal 5 11 2 2 2" xfId="17008" xr:uid="{A3641917-CFC2-4A29-9532-14839CE8FA3E}"/>
    <cellStyle name="Normal 5 11 2 3" xfId="12790" xr:uid="{F01DE685-CF67-4947-A418-D5F7B5E2B9C7}"/>
    <cellStyle name="Normal 5 11 3" xfId="6434" xr:uid="{00000000-0005-0000-0000-0000E5160000}"/>
    <cellStyle name="Normal 5 11 3 2" xfId="14863" xr:uid="{001CAD8D-7CBC-400E-BD66-DCE54874A8E7}"/>
    <cellStyle name="Normal 5 11 4" xfId="10645" xr:uid="{57C01D4B-BF36-4313-B10D-9E169D17B99D}"/>
    <cellStyle name="Normal 5 12" xfId="2562" xr:uid="{00000000-0005-0000-0000-0000E6160000}"/>
    <cellStyle name="Normal 5 12 2" xfId="6847" xr:uid="{00000000-0005-0000-0000-0000E7160000}"/>
    <cellStyle name="Normal 5 12 2 2" xfId="15276" xr:uid="{3A8B690A-9857-4E58-965A-1AB820493A3C}"/>
    <cellStyle name="Normal 5 12 3" xfId="11058" xr:uid="{7FB0EBB1-4A92-47E4-954B-5F0CDF828EA7}"/>
    <cellStyle name="Normal 5 13" xfId="4782" xr:uid="{00000000-0005-0000-0000-0000E8160000}"/>
    <cellStyle name="Normal 5 13 2" xfId="13211" xr:uid="{4A70449D-42ED-4491-8BBD-6FE429EC2E79}"/>
    <cellStyle name="Normal 5 14" xfId="8993" xr:uid="{1195556A-A36C-4787-90E6-73B2C805A99E}"/>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2 2" xfId="17009" xr:uid="{B3F0454F-AEDD-45C3-BB66-32E6D452F42E}"/>
    <cellStyle name="Normal 5 2 10 2 3" xfId="12791" xr:uid="{5362228C-0265-44BE-BB72-8E585DC0DAB0}"/>
    <cellStyle name="Normal 5 2 10 3" xfId="6435" xr:uid="{00000000-0005-0000-0000-0000ED160000}"/>
    <cellStyle name="Normal 5 2 10 3 2" xfId="14864" xr:uid="{E022C41A-4B90-4A8B-AD75-3A1BEF7D97C6}"/>
    <cellStyle name="Normal 5 2 10 4" xfId="10646" xr:uid="{4AADFE41-0DCB-4FC0-BF80-669F6EA10E58}"/>
    <cellStyle name="Normal 5 2 11" xfId="2563" xr:uid="{00000000-0005-0000-0000-0000EE160000}"/>
    <cellStyle name="Normal 5 2 11 2" xfId="6848" xr:uid="{00000000-0005-0000-0000-0000EF160000}"/>
    <cellStyle name="Normal 5 2 11 2 2" xfId="15277" xr:uid="{D2928180-57B2-4570-904A-CBB918FDFED8}"/>
    <cellStyle name="Normal 5 2 11 3" xfId="11059" xr:uid="{90146590-0CCB-4C2E-93C6-F09087277012}"/>
    <cellStyle name="Normal 5 2 12" xfId="4783" xr:uid="{00000000-0005-0000-0000-0000F0160000}"/>
    <cellStyle name="Normal 5 2 12 2" xfId="13212" xr:uid="{D3CF5722-D2EE-48BA-9775-F96792254115}"/>
    <cellStyle name="Normal 5 2 13" xfId="8994" xr:uid="{6FBA3F90-8319-4A3D-BA5A-615527FAE7AF}"/>
    <cellStyle name="Normal 5 2 2" xfId="408" xr:uid="{00000000-0005-0000-0000-0000F1160000}"/>
    <cellStyle name="Normal 5 2 2 10" xfId="2564" xr:uid="{00000000-0005-0000-0000-0000F2160000}"/>
    <cellStyle name="Normal 5 2 2 10 2" xfId="6849" xr:uid="{00000000-0005-0000-0000-0000F3160000}"/>
    <cellStyle name="Normal 5 2 2 10 2 2" xfId="15278" xr:uid="{798C023E-743C-4827-83D1-B92EE633927A}"/>
    <cellStyle name="Normal 5 2 2 10 3" xfId="11060" xr:uid="{D2BE93EF-39F5-48BD-80BE-D78DB5DE8F9F}"/>
    <cellStyle name="Normal 5 2 2 11" xfId="4784" xr:uid="{00000000-0005-0000-0000-0000F4160000}"/>
    <cellStyle name="Normal 5 2 2 11 2" xfId="13213" xr:uid="{2EBBB901-1806-41E5-91B2-1FFECE875E74}"/>
    <cellStyle name="Normal 5 2 2 12" xfId="8995" xr:uid="{44D52D0B-1FD7-4010-97E9-7B0C53B47AA3}"/>
    <cellStyle name="Normal 5 2 2 2" xfId="409" xr:uid="{00000000-0005-0000-0000-0000F5160000}"/>
    <cellStyle name="Normal 5 2 2 2 10" xfId="4785" xr:uid="{00000000-0005-0000-0000-0000F6160000}"/>
    <cellStyle name="Normal 5 2 2 2 10 2" xfId="13214" xr:uid="{7D00FD27-6294-48F8-BFB4-20E09C45E791}"/>
    <cellStyle name="Normal 5 2 2 2 11" xfId="8996" xr:uid="{4FB2AC5F-F740-4A57-A3B1-CE17FA951631}"/>
    <cellStyle name="Normal 5 2 2 2 2" xfId="410" xr:uid="{00000000-0005-0000-0000-0000F7160000}"/>
    <cellStyle name="Normal 5 2 2 2 2 10" xfId="8997" xr:uid="{C898CFA6-4359-48A8-ABAD-D39380FDAFCB}"/>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2 2" xfId="15775" xr:uid="{5515EECA-65DB-457F-A6EC-27A9C114BB2A}"/>
    <cellStyle name="Normal 5 2 2 2 2 2 2 2 2 3" xfId="11557" xr:uid="{830A0183-A721-484B-A443-3ADB1CCD99D1}"/>
    <cellStyle name="Normal 5 2 2 2 2 2 2 2 3" xfId="5201" xr:uid="{00000000-0005-0000-0000-0000FD160000}"/>
    <cellStyle name="Normal 5 2 2 2 2 2 2 2 3 2" xfId="13630" xr:uid="{9637E7FD-344F-403B-B8FB-D6193C8DCF93}"/>
    <cellStyle name="Normal 5 2 2 2 2 2 2 2 4" xfId="9412" xr:uid="{9D7BA836-F7F9-4474-9F72-22911BE24423}"/>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2 2" xfId="16188" xr:uid="{F9E35940-9A41-4AFC-9D7C-65F1F84F8B6A}"/>
    <cellStyle name="Normal 5 2 2 2 2 2 2 3 2 3" xfId="11970" xr:uid="{9A3B9BED-10D9-49A8-B4FE-97BBFDC114F1}"/>
    <cellStyle name="Normal 5 2 2 2 2 2 2 3 3" xfId="5614" xr:uid="{00000000-0005-0000-0000-000001170000}"/>
    <cellStyle name="Normal 5 2 2 2 2 2 2 3 3 2" xfId="14043" xr:uid="{FA3529A7-024A-427B-B8EC-E72E30FB6CF6}"/>
    <cellStyle name="Normal 5 2 2 2 2 2 2 3 4" xfId="9825" xr:uid="{B1101111-633F-4243-B272-67444BD125B3}"/>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2 2" xfId="16601" xr:uid="{DA218046-10B4-4D5D-B282-9AF7C0FA1EE3}"/>
    <cellStyle name="Normal 5 2 2 2 2 2 2 4 2 3" xfId="12383" xr:uid="{12119EA2-193A-48F5-B3B7-6F9D785ABE6B}"/>
    <cellStyle name="Normal 5 2 2 2 2 2 2 4 3" xfId="6027" xr:uid="{00000000-0005-0000-0000-000005170000}"/>
    <cellStyle name="Normal 5 2 2 2 2 2 2 4 3 2" xfId="14456" xr:uid="{DD89471C-31D2-4466-8456-809FE7C3BA82}"/>
    <cellStyle name="Normal 5 2 2 2 2 2 2 4 4" xfId="10238" xr:uid="{168E81A4-CEE7-4812-ACD4-6CAECF2FB1C5}"/>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2 2" xfId="17014" xr:uid="{F6DDEC8B-7A34-4113-A662-7673342E90C4}"/>
    <cellStyle name="Normal 5 2 2 2 2 2 2 5 2 3" xfId="12796" xr:uid="{02E4D087-71FB-4356-9D7C-4AB6D2F3213C}"/>
    <cellStyle name="Normal 5 2 2 2 2 2 2 5 3" xfId="6440" xr:uid="{00000000-0005-0000-0000-000009170000}"/>
    <cellStyle name="Normal 5 2 2 2 2 2 2 5 3 2" xfId="14869" xr:uid="{F33C191C-C4F7-4337-9A00-5A17FB3B3029}"/>
    <cellStyle name="Normal 5 2 2 2 2 2 2 5 4" xfId="10651" xr:uid="{BBD0F4DE-EEAB-4A4E-B861-11E0CE0B9B64}"/>
    <cellStyle name="Normal 5 2 2 2 2 2 2 6" xfId="2568" xr:uid="{00000000-0005-0000-0000-00000A170000}"/>
    <cellStyle name="Normal 5 2 2 2 2 2 2 6 2" xfId="6853" xr:uid="{00000000-0005-0000-0000-00000B170000}"/>
    <cellStyle name="Normal 5 2 2 2 2 2 2 6 2 2" xfId="15282" xr:uid="{BE9F7AAA-3211-4C17-BB64-E61E8F4B7A68}"/>
    <cellStyle name="Normal 5 2 2 2 2 2 2 6 3" xfId="11064" xr:uid="{E1209670-4FE2-4C31-8C6B-B6F603120020}"/>
    <cellStyle name="Normal 5 2 2 2 2 2 2 7" xfId="4788" xr:uid="{00000000-0005-0000-0000-00000C170000}"/>
    <cellStyle name="Normal 5 2 2 2 2 2 2 7 2" xfId="13217" xr:uid="{40793152-EF74-4E7A-8AE2-D37736A7F1AB}"/>
    <cellStyle name="Normal 5 2 2 2 2 2 2 8" xfId="8999" xr:uid="{07954E74-74F8-4226-B5AF-CD12A5F2BB8E}"/>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2 2" xfId="15774" xr:uid="{AD813D38-A0F9-4C8D-9ACC-41DF193797B4}"/>
    <cellStyle name="Normal 5 2 2 2 2 2 3 2 3" xfId="11556" xr:uid="{49F40879-F1C4-4E47-8637-BDFC0025B2AA}"/>
    <cellStyle name="Normal 5 2 2 2 2 2 3 3" xfId="5200" xr:uid="{00000000-0005-0000-0000-000010170000}"/>
    <cellStyle name="Normal 5 2 2 2 2 2 3 3 2" xfId="13629" xr:uid="{55CB1806-AD8B-424D-852C-AA2B218C3DD2}"/>
    <cellStyle name="Normal 5 2 2 2 2 2 3 4" xfId="9411" xr:uid="{09569F63-DDCC-4949-ACC3-7DB82F9A2DEF}"/>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2 2" xfId="16187" xr:uid="{98A8DB47-9AFD-4CD6-B180-C7FF01A6FB0C}"/>
    <cellStyle name="Normal 5 2 2 2 2 2 4 2 3" xfId="11969" xr:uid="{88650E65-A4D2-4D39-9109-106FDD71F521}"/>
    <cellStyle name="Normal 5 2 2 2 2 2 4 3" xfId="5613" xr:uid="{00000000-0005-0000-0000-000014170000}"/>
    <cellStyle name="Normal 5 2 2 2 2 2 4 3 2" xfId="14042" xr:uid="{2EB2EA9A-D0F8-4E6B-AA20-AF15DE094297}"/>
    <cellStyle name="Normal 5 2 2 2 2 2 4 4" xfId="9824" xr:uid="{AA17DA2C-4429-4467-B91B-94676F7B3498}"/>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2 2" xfId="16600" xr:uid="{E794A0B0-2B14-497E-87FA-E38E29DB32F7}"/>
    <cellStyle name="Normal 5 2 2 2 2 2 5 2 3" xfId="12382" xr:uid="{7FD45DF7-05C0-4B70-892A-BE9A015AD390}"/>
    <cellStyle name="Normal 5 2 2 2 2 2 5 3" xfId="6026" xr:uid="{00000000-0005-0000-0000-000018170000}"/>
    <cellStyle name="Normal 5 2 2 2 2 2 5 3 2" xfId="14455" xr:uid="{C31E7CB8-2E5E-4850-A256-03EA25AC8478}"/>
    <cellStyle name="Normal 5 2 2 2 2 2 5 4" xfId="10237" xr:uid="{97C122ED-714C-4C2B-B5C5-790DAC34538B}"/>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2 2" xfId="17013" xr:uid="{34EDABA2-9E55-4487-A47E-5180943A8C5D}"/>
    <cellStyle name="Normal 5 2 2 2 2 2 6 2 3" xfId="12795" xr:uid="{E685D452-E718-4C46-96BE-6CE5C61F24A9}"/>
    <cellStyle name="Normal 5 2 2 2 2 2 6 3" xfId="6439" xr:uid="{00000000-0005-0000-0000-00001C170000}"/>
    <cellStyle name="Normal 5 2 2 2 2 2 6 3 2" xfId="14868" xr:uid="{93AF5BD4-E5AB-4951-A81B-3AEBF99904B5}"/>
    <cellStyle name="Normal 5 2 2 2 2 2 6 4" xfId="10650" xr:uid="{7ED4633C-BAAE-416E-90AC-7D75CFFD0149}"/>
    <cellStyle name="Normal 5 2 2 2 2 2 7" xfId="2567" xr:uid="{00000000-0005-0000-0000-00001D170000}"/>
    <cellStyle name="Normal 5 2 2 2 2 2 7 2" xfId="6852" xr:uid="{00000000-0005-0000-0000-00001E170000}"/>
    <cellStyle name="Normal 5 2 2 2 2 2 7 2 2" xfId="15281" xr:uid="{4D456EBA-1C41-4260-8863-FF40E3162C34}"/>
    <cellStyle name="Normal 5 2 2 2 2 2 7 3" xfId="11063" xr:uid="{D74E5580-CDE2-4D31-A50E-A1BC83E91B99}"/>
    <cellStyle name="Normal 5 2 2 2 2 2 8" xfId="4787" xr:uid="{00000000-0005-0000-0000-00001F170000}"/>
    <cellStyle name="Normal 5 2 2 2 2 2 8 2" xfId="13216" xr:uid="{09F760FE-4928-4C90-81C3-3720F24B0990}"/>
    <cellStyle name="Normal 5 2 2 2 2 2 9" xfId="8998" xr:uid="{88BBBEC9-A905-48A0-BCBA-136B546F7FEE}"/>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2 2" xfId="15776" xr:uid="{78872A0F-CE95-416E-A774-339E81C2FFD5}"/>
    <cellStyle name="Normal 5 2 2 2 2 3 2 2 3" xfId="11558" xr:uid="{0F6FEFBF-CEC7-43A7-9BB2-31269E83FB0A}"/>
    <cellStyle name="Normal 5 2 2 2 2 3 2 3" xfId="5202" xr:uid="{00000000-0005-0000-0000-000024170000}"/>
    <cellStyle name="Normal 5 2 2 2 2 3 2 3 2" xfId="13631" xr:uid="{BBDF6D5A-9611-428D-AA9A-F593DBA7C89B}"/>
    <cellStyle name="Normal 5 2 2 2 2 3 2 4" xfId="9413" xr:uid="{4A6A1DAC-CFE1-486D-B09F-CB03C3174B51}"/>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2 2" xfId="16189" xr:uid="{C1F42F45-A0DC-4C33-8785-2EBBF341CBA2}"/>
    <cellStyle name="Normal 5 2 2 2 2 3 3 2 3" xfId="11971" xr:uid="{539617C8-4EA7-4446-A368-01A4632ECFFC}"/>
    <cellStyle name="Normal 5 2 2 2 2 3 3 3" xfId="5615" xr:uid="{00000000-0005-0000-0000-000028170000}"/>
    <cellStyle name="Normal 5 2 2 2 2 3 3 3 2" xfId="14044" xr:uid="{91D2AF83-1B37-4A4F-AEAD-58A464A37F85}"/>
    <cellStyle name="Normal 5 2 2 2 2 3 3 4" xfId="9826" xr:uid="{76937A3E-74E5-41C0-8D4D-51AAE7653285}"/>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2 2" xfId="16602" xr:uid="{C9588C70-7790-4977-9AC7-88D4D5630F65}"/>
    <cellStyle name="Normal 5 2 2 2 2 3 4 2 3" xfId="12384" xr:uid="{BA4E6425-42EB-4657-A280-77B832D8BAC0}"/>
    <cellStyle name="Normal 5 2 2 2 2 3 4 3" xfId="6028" xr:uid="{00000000-0005-0000-0000-00002C170000}"/>
    <cellStyle name="Normal 5 2 2 2 2 3 4 3 2" xfId="14457" xr:uid="{6FD530B9-681A-47E3-B786-CAD7E44F2941}"/>
    <cellStyle name="Normal 5 2 2 2 2 3 4 4" xfId="10239" xr:uid="{04DF0542-D30A-4F71-AE3E-19E052162F3D}"/>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2 2" xfId="17015" xr:uid="{7348093C-DD0B-45B7-BBF6-FB4F24FE6168}"/>
    <cellStyle name="Normal 5 2 2 2 2 3 5 2 3" xfId="12797" xr:uid="{57C41D4F-36A2-4F35-A69E-2C3B4A91F259}"/>
    <cellStyle name="Normal 5 2 2 2 2 3 5 3" xfId="6441" xr:uid="{00000000-0005-0000-0000-000030170000}"/>
    <cellStyle name="Normal 5 2 2 2 2 3 5 3 2" xfId="14870" xr:uid="{37339622-F913-4352-98F9-6EEE8B791DA8}"/>
    <cellStyle name="Normal 5 2 2 2 2 3 5 4" xfId="10652" xr:uid="{C2EB94FA-CE15-4D85-B4FD-95A4775BB75D}"/>
    <cellStyle name="Normal 5 2 2 2 2 3 6" xfId="2569" xr:uid="{00000000-0005-0000-0000-000031170000}"/>
    <cellStyle name="Normal 5 2 2 2 2 3 6 2" xfId="6854" xr:uid="{00000000-0005-0000-0000-000032170000}"/>
    <cellStyle name="Normal 5 2 2 2 2 3 6 2 2" xfId="15283" xr:uid="{F8F499AC-504D-4FD1-B176-89DAC2C3FB41}"/>
    <cellStyle name="Normal 5 2 2 2 2 3 6 3" xfId="11065" xr:uid="{62CA230F-D8D7-4D19-BAB8-B03A480E86D7}"/>
    <cellStyle name="Normal 5 2 2 2 2 3 7" xfId="4789" xr:uid="{00000000-0005-0000-0000-000033170000}"/>
    <cellStyle name="Normal 5 2 2 2 2 3 7 2" xfId="13218" xr:uid="{EFFAC5AE-AB3D-4E28-BA8C-1277CD03B8EF}"/>
    <cellStyle name="Normal 5 2 2 2 2 3 8" xfId="9000" xr:uid="{CC096973-61D5-4786-B9C8-83577723B1DB}"/>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2 2" xfId="15773" xr:uid="{1D8CE2D9-57AF-40EE-9E43-2DD1C3640707}"/>
    <cellStyle name="Normal 5 2 2 2 2 4 2 3" xfId="11555" xr:uid="{3476737A-2373-40C5-B70D-E89677C962A9}"/>
    <cellStyle name="Normal 5 2 2 2 2 4 3" xfId="5199" xr:uid="{00000000-0005-0000-0000-000037170000}"/>
    <cellStyle name="Normal 5 2 2 2 2 4 3 2" xfId="13628" xr:uid="{227D22B4-FB63-422F-824A-B60F4678E1B9}"/>
    <cellStyle name="Normal 5 2 2 2 2 4 4" xfId="9410" xr:uid="{99051B7D-0988-49A1-8F76-74490BEA8D6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2 2" xfId="16186" xr:uid="{3CB26752-1A20-4880-8425-74507E4E453F}"/>
    <cellStyle name="Normal 5 2 2 2 2 5 2 3" xfId="11968" xr:uid="{6994541B-BFC8-48DC-B0B9-EC2C8C8ACF12}"/>
    <cellStyle name="Normal 5 2 2 2 2 5 3" xfId="5612" xr:uid="{00000000-0005-0000-0000-00003B170000}"/>
    <cellStyle name="Normal 5 2 2 2 2 5 3 2" xfId="14041" xr:uid="{40951DC9-E767-41A2-8252-53E7C7387EB6}"/>
    <cellStyle name="Normal 5 2 2 2 2 5 4" xfId="9823" xr:uid="{FB946DDF-8DA6-4792-9034-7A8001355F3C}"/>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2 2" xfId="16599" xr:uid="{C285112B-BE08-4149-92D1-AAED3F1D9381}"/>
    <cellStyle name="Normal 5 2 2 2 2 6 2 3" xfId="12381" xr:uid="{140603F4-7C6C-4A88-908B-7A92A6334AB5}"/>
    <cellStyle name="Normal 5 2 2 2 2 6 3" xfId="6025" xr:uid="{00000000-0005-0000-0000-00003F170000}"/>
    <cellStyle name="Normal 5 2 2 2 2 6 3 2" xfId="14454" xr:uid="{5090741D-5F0C-4F88-AC35-5043792DAEBA}"/>
    <cellStyle name="Normal 5 2 2 2 2 6 4" xfId="10236" xr:uid="{BFEEE9B0-6002-4388-B05D-862EF2E19F4B}"/>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2 2" xfId="17012" xr:uid="{0C74C515-3CDA-45D5-8F0F-D30D51D99278}"/>
    <cellStyle name="Normal 5 2 2 2 2 7 2 3" xfId="12794" xr:uid="{C90E9D9F-95BE-4C42-A214-C380587D0E9C}"/>
    <cellStyle name="Normal 5 2 2 2 2 7 3" xfId="6438" xr:uid="{00000000-0005-0000-0000-000043170000}"/>
    <cellStyle name="Normal 5 2 2 2 2 7 3 2" xfId="14867" xr:uid="{9D79D79B-2944-42D1-80E2-2431C526B84F}"/>
    <cellStyle name="Normal 5 2 2 2 2 7 4" xfId="10649" xr:uid="{552C1521-F15A-4999-A896-B8030A578B7A}"/>
    <cellStyle name="Normal 5 2 2 2 2 8" xfId="2566" xr:uid="{00000000-0005-0000-0000-000044170000}"/>
    <cellStyle name="Normal 5 2 2 2 2 8 2" xfId="6851" xr:uid="{00000000-0005-0000-0000-000045170000}"/>
    <cellStyle name="Normal 5 2 2 2 2 8 2 2" xfId="15280" xr:uid="{0228E6F2-CD42-4D77-BAAA-EC605D0BA906}"/>
    <cellStyle name="Normal 5 2 2 2 2 8 3" xfId="11062" xr:uid="{61E21829-0098-4ECC-BB64-3D6A291A9A90}"/>
    <cellStyle name="Normal 5 2 2 2 2 9" xfId="4786" xr:uid="{00000000-0005-0000-0000-000046170000}"/>
    <cellStyle name="Normal 5 2 2 2 2 9 2" xfId="13215" xr:uid="{3F57F3D5-76E1-43C5-AE07-9F86783085F5}"/>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2 2" xfId="15778" xr:uid="{31D34907-9CD4-49D6-897A-E0E0294BF446}"/>
    <cellStyle name="Normal 5 2 2 2 3 2 2 2 3" xfId="11560" xr:uid="{892B807C-78D0-4224-B746-89C700F37FD5}"/>
    <cellStyle name="Normal 5 2 2 2 3 2 2 3" xfId="5204" xr:uid="{00000000-0005-0000-0000-00004C170000}"/>
    <cellStyle name="Normal 5 2 2 2 3 2 2 3 2" xfId="13633" xr:uid="{78952EA1-D4F3-4E4D-A8AD-77408D875758}"/>
    <cellStyle name="Normal 5 2 2 2 3 2 2 4" xfId="9415" xr:uid="{D5620FAB-2725-43A8-978D-F3DB243B91D5}"/>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2 2" xfId="16191" xr:uid="{8D7E1158-0FF0-4017-B703-C841EEF09598}"/>
    <cellStyle name="Normal 5 2 2 2 3 2 3 2 3" xfId="11973" xr:uid="{6808503F-D007-4CAF-9711-0D8C10713A6E}"/>
    <cellStyle name="Normal 5 2 2 2 3 2 3 3" xfId="5617" xr:uid="{00000000-0005-0000-0000-000050170000}"/>
    <cellStyle name="Normal 5 2 2 2 3 2 3 3 2" xfId="14046" xr:uid="{0669DB2A-B8A8-47E4-9D8E-148FA00B9E9D}"/>
    <cellStyle name="Normal 5 2 2 2 3 2 3 4" xfId="9828" xr:uid="{889FD377-F6BF-4E0F-AB83-D88E024129A8}"/>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2 2" xfId="16604" xr:uid="{CA190970-1ACA-407E-9FF4-655BF61A42C2}"/>
    <cellStyle name="Normal 5 2 2 2 3 2 4 2 3" xfId="12386" xr:uid="{16C444F6-1479-4E51-97BD-E7E4F3419C43}"/>
    <cellStyle name="Normal 5 2 2 2 3 2 4 3" xfId="6030" xr:uid="{00000000-0005-0000-0000-000054170000}"/>
    <cellStyle name="Normal 5 2 2 2 3 2 4 3 2" xfId="14459" xr:uid="{08F3A531-9238-49D8-9DBA-3DC02D202F36}"/>
    <cellStyle name="Normal 5 2 2 2 3 2 4 4" xfId="10241" xr:uid="{370DF87F-BCE6-4A7E-BE8F-D9AD27080BB6}"/>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2 2" xfId="17017" xr:uid="{59A1EFC8-E157-47AD-B585-973BEBE757DA}"/>
    <cellStyle name="Normal 5 2 2 2 3 2 5 2 3" xfId="12799" xr:uid="{69EEB00C-29F7-4CF8-85B8-BC5FCEE4952E}"/>
    <cellStyle name="Normal 5 2 2 2 3 2 5 3" xfId="6443" xr:uid="{00000000-0005-0000-0000-000058170000}"/>
    <cellStyle name="Normal 5 2 2 2 3 2 5 3 2" xfId="14872" xr:uid="{1DD6973D-690B-4F3A-8DE4-EABE2AF8554E}"/>
    <cellStyle name="Normal 5 2 2 2 3 2 5 4" xfId="10654" xr:uid="{D4F51D3B-6A58-43C7-A6D9-335FF2F6CF14}"/>
    <cellStyle name="Normal 5 2 2 2 3 2 6" xfId="2571" xr:uid="{00000000-0005-0000-0000-000059170000}"/>
    <cellStyle name="Normal 5 2 2 2 3 2 6 2" xfId="6856" xr:uid="{00000000-0005-0000-0000-00005A170000}"/>
    <cellStyle name="Normal 5 2 2 2 3 2 6 2 2" xfId="15285" xr:uid="{A38667E9-AEEE-4C1E-BEBE-66BF044A549E}"/>
    <cellStyle name="Normal 5 2 2 2 3 2 6 3" xfId="11067" xr:uid="{B019F2B2-CAA4-478B-9430-5019CF690BD5}"/>
    <cellStyle name="Normal 5 2 2 2 3 2 7" xfId="4791" xr:uid="{00000000-0005-0000-0000-00005B170000}"/>
    <cellStyle name="Normal 5 2 2 2 3 2 7 2" xfId="13220" xr:uid="{F455D510-5B2D-4450-9E48-446E1772C025}"/>
    <cellStyle name="Normal 5 2 2 2 3 2 8" xfId="9002" xr:uid="{866C4D3E-46F2-404E-8E54-73FF7F67A5EF}"/>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2 2" xfId="15777" xr:uid="{314971C8-F1D3-4C11-9E1D-1ABE17C61861}"/>
    <cellStyle name="Normal 5 2 2 2 3 3 2 3" xfId="11559" xr:uid="{4FAA313C-0774-4674-9811-69B1E63AA7B7}"/>
    <cellStyle name="Normal 5 2 2 2 3 3 3" xfId="5203" xr:uid="{00000000-0005-0000-0000-00005F170000}"/>
    <cellStyle name="Normal 5 2 2 2 3 3 3 2" xfId="13632" xr:uid="{8A726A4B-5DD6-4EBB-B6B0-A9BE9B3E031B}"/>
    <cellStyle name="Normal 5 2 2 2 3 3 4" xfId="9414" xr:uid="{EF3901E3-3E1D-4472-A7C4-EAC07E8EE67E}"/>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2 2" xfId="16190" xr:uid="{4958A8CB-5F4B-476D-AFA4-AA5A424CBBF4}"/>
    <cellStyle name="Normal 5 2 2 2 3 4 2 3" xfId="11972" xr:uid="{5D3C8F35-A232-4C6B-9608-0845BCE5F082}"/>
    <cellStyle name="Normal 5 2 2 2 3 4 3" xfId="5616" xr:uid="{00000000-0005-0000-0000-000063170000}"/>
    <cellStyle name="Normal 5 2 2 2 3 4 3 2" xfId="14045" xr:uid="{169450E4-9F5F-4701-9FFE-D9CA402BC71E}"/>
    <cellStyle name="Normal 5 2 2 2 3 4 4" xfId="9827" xr:uid="{74BC0A0A-CF37-4991-AE84-F2889DE21BC5}"/>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2 2" xfId="16603" xr:uid="{53CCC057-8AE0-493B-9F77-DA88C3A746C2}"/>
    <cellStyle name="Normal 5 2 2 2 3 5 2 3" xfId="12385" xr:uid="{9EFDD170-C296-4B07-9B8D-A730ADC3A7FF}"/>
    <cellStyle name="Normal 5 2 2 2 3 5 3" xfId="6029" xr:uid="{00000000-0005-0000-0000-000067170000}"/>
    <cellStyle name="Normal 5 2 2 2 3 5 3 2" xfId="14458" xr:uid="{2D207217-3D34-4339-BEB6-FC712D949B62}"/>
    <cellStyle name="Normal 5 2 2 2 3 5 4" xfId="10240" xr:uid="{6773F5C8-FBD7-42AA-AD2E-716A6565FC45}"/>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2 2" xfId="17016" xr:uid="{981DA9CC-A4E3-4E8A-825B-57A4EA2B6B18}"/>
    <cellStyle name="Normal 5 2 2 2 3 6 2 3" xfId="12798" xr:uid="{2D6708EC-9FCC-444B-B957-1F66C0834FCF}"/>
    <cellStyle name="Normal 5 2 2 2 3 6 3" xfId="6442" xr:uid="{00000000-0005-0000-0000-00006B170000}"/>
    <cellStyle name="Normal 5 2 2 2 3 6 3 2" xfId="14871" xr:uid="{BD02D7E7-1DF9-436F-9777-2675614CA69B}"/>
    <cellStyle name="Normal 5 2 2 2 3 6 4" xfId="10653" xr:uid="{30B71927-98B8-4A4A-93D4-DF01C159150D}"/>
    <cellStyle name="Normal 5 2 2 2 3 7" xfId="2570" xr:uid="{00000000-0005-0000-0000-00006C170000}"/>
    <cellStyle name="Normal 5 2 2 2 3 7 2" xfId="6855" xr:uid="{00000000-0005-0000-0000-00006D170000}"/>
    <cellStyle name="Normal 5 2 2 2 3 7 2 2" xfId="15284" xr:uid="{DE066F1F-17DE-47D4-9619-491FDE2C3BC2}"/>
    <cellStyle name="Normal 5 2 2 2 3 7 3" xfId="11066" xr:uid="{96896DE0-DE03-4418-8CFA-1E33667D28FC}"/>
    <cellStyle name="Normal 5 2 2 2 3 8" xfId="4790" xr:uid="{00000000-0005-0000-0000-00006E170000}"/>
    <cellStyle name="Normal 5 2 2 2 3 8 2" xfId="13219" xr:uid="{1B2A9659-5D53-424A-A0A5-D9D0466F4B1B}"/>
    <cellStyle name="Normal 5 2 2 2 3 9" xfId="9001" xr:uid="{619D9F31-3A39-4B3A-9BE7-E6A05C79D7CC}"/>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2 2" xfId="15779" xr:uid="{505EA2C1-A5BC-4BC6-9F0E-7FCF91C0E3BC}"/>
    <cellStyle name="Normal 5 2 2 2 4 2 2 3" xfId="11561" xr:uid="{9CBE7F44-2EBA-41E9-A9EE-3EDAB37B716D}"/>
    <cellStyle name="Normal 5 2 2 2 4 2 3" xfId="5205" xr:uid="{00000000-0005-0000-0000-000073170000}"/>
    <cellStyle name="Normal 5 2 2 2 4 2 3 2" xfId="13634" xr:uid="{490A5661-1083-4D76-9CFD-35847E365621}"/>
    <cellStyle name="Normal 5 2 2 2 4 2 4" xfId="9416" xr:uid="{84396CB0-E41B-4461-9105-BC9E6C8FE235}"/>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2 2" xfId="16192" xr:uid="{FD0A6724-D8CE-4551-996D-03F8A6C6A62C}"/>
    <cellStyle name="Normal 5 2 2 2 4 3 2 3" xfId="11974" xr:uid="{A80F2CAE-60E5-43FF-AFC5-9248C97C49B7}"/>
    <cellStyle name="Normal 5 2 2 2 4 3 3" xfId="5618" xr:uid="{00000000-0005-0000-0000-000077170000}"/>
    <cellStyle name="Normal 5 2 2 2 4 3 3 2" xfId="14047" xr:uid="{493DD595-D495-493E-A45A-88DF826C7A93}"/>
    <cellStyle name="Normal 5 2 2 2 4 3 4" xfId="9829" xr:uid="{97291840-399E-406D-AC73-C6A96DBBAFA9}"/>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2 2" xfId="16605" xr:uid="{FB71501D-507A-494A-A126-CE3FCC9FBBAA}"/>
    <cellStyle name="Normal 5 2 2 2 4 4 2 3" xfId="12387" xr:uid="{DD3F89D4-77F7-4204-9510-9F2758FABB37}"/>
    <cellStyle name="Normal 5 2 2 2 4 4 3" xfId="6031" xr:uid="{00000000-0005-0000-0000-00007B170000}"/>
    <cellStyle name="Normal 5 2 2 2 4 4 3 2" xfId="14460" xr:uid="{24F41C97-A329-47B3-AC5B-6C9F06BE002E}"/>
    <cellStyle name="Normal 5 2 2 2 4 4 4" xfId="10242" xr:uid="{F676D2A3-DAA4-4AB6-8315-0A3FBAA3817D}"/>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2 2" xfId="17018" xr:uid="{F0A24CBE-3B01-45EA-9C02-9D06344B3C98}"/>
    <cellStyle name="Normal 5 2 2 2 4 5 2 3" xfId="12800" xr:uid="{4A9FA00B-C1B0-456F-A039-68EC7963DA2E}"/>
    <cellStyle name="Normal 5 2 2 2 4 5 3" xfId="6444" xr:uid="{00000000-0005-0000-0000-00007F170000}"/>
    <cellStyle name="Normal 5 2 2 2 4 5 3 2" xfId="14873" xr:uid="{82921700-7602-43C9-AABF-579590A020A2}"/>
    <cellStyle name="Normal 5 2 2 2 4 5 4" xfId="10655" xr:uid="{6EC33681-E4DA-46F0-8D54-7E0CA33F8CF0}"/>
    <cellStyle name="Normal 5 2 2 2 4 6" xfId="2572" xr:uid="{00000000-0005-0000-0000-000080170000}"/>
    <cellStyle name="Normal 5 2 2 2 4 6 2" xfId="6857" xr:uid="{00000000-0005-0000-0000-000081170000}"/>
    <cellStyle name="Normal 5 2 2 2 4 6 2 2" xfId="15286" xr:uid="{BDF1386B-1C23-46D6-A771-C68FA6EBFDC6}"/>
    <cellStyle name="Normal 5 2 2 2 4 6 3" xfId="11068" xr:uid="{9011CC32-C099-460A-A659-CF900B6ED6E8}"/>
    <cellStyle name="Normal 5 2 2 2 4 7" xfId="4792" xr:uid="{00000000-0005-0000-0000-000082170000}"/>
    <cellStyle name="Normal 5 2 2 2 4 7 2" xfId="13221" xr:uid="{E6276574-DB89-4CD1-A9C0-57BA94147188}"/>
    <cellStyle name="Normal 5 2 2 2 4 8" xfId="9003" xr:uid="{8742B696-42B9-492D-8499-2E33FF32394D}"/>
    <cellStyle name="Normal 5 2 2 2 5" xfId="884" xr:uid="{00000000-0005-0000-0000-000083170000}"/>
    <cellStyle name="Normal 5 2 2 2 5 2" xfId="3119" xr:uid="{00000000-0005-0000-0000-000084170000}"/>
    <cellStyle name="Normal 5 2 2 2 5 2 2" xfId="7343" xr:uid="{00000000-0005-0000-0000-000085170000}"/>
    <cellStyle name="Normal 5 2 2 2 5 2 2 2" xfId="15772" xr:uid="{38FBEC0E-A0B1-46F0-8AC6-E140A3632931}"/>
    <cellStyle name="Normal 5 2 2 2 5 2 3" xfId="11554" xr:uid="{B76C9634-B662-40EE-894D-F76CA566879E}"/>
    <cellStyle name="Normal 5 2 2 2 5 3" xfId="5198" xr:uid="{00000000-0005-0000-0000-000086170000}"/>
    <cellStyle name="Normal 5 2 2 2 5 3 2" xfId="13627" xr:uid="{EC9700C1-C275-4206-A662-1F238282F060}"/>
    <cellStyle name="Normal 5 2 2 2 5 4" xfId="9409" xr:uid="{CB5B1979-89F4-423F-A7DE-19A12FCB3330}"/>
    <cellStyle name="Normal 5 2 2 2 6" xfId="1302" xr:uid="{00000000-0005-0000-0000-000087170000}"/>
    <cellStyle name="Normal 5 2 2 2 6 2" xfId="3532" xr:uid="{00000000-0005-0000-0000-000088170000}"/>
    <cellStyle name="Normal 5 2 2 2 6 2 2" xfId="7756" xr:uid="{00000000-0005-0000-0000-000089170000}"/>
    <cellStyle name="Normal 5 2 2 2 6 2 2 2" xfId="16185" xr:uid="{A686B02D-89FF-473C-BCE7-607F4FC03FBF}"/>
    <cellStyle name="Normal 5 2 2 2 6 2 3" xfId="11967" xr:uid="{58CE9487-A1EF-4383-98D6-2D579F51B03D}"/>
    <cellStyle name="Normal 5 2 2 2 6 3" xfId="5611" xr:uid="{00000000-0005-0000-0000-00008A170000}"/>
    <cellStyle name="Normal 5 2 2 2 6 3 2" xfId="14040" xr:uid="{26D93E9E-0722-4941-B955-E39BDEDDF5AA}"/>
    <cellStyle name="Normal 5 2 2 2 6 4" xfId="9822" xr:uid="{896E68DE-530F-499C-9C28-9A3622F5CDDD}"/>
    <cellStyle name="Normal 5 2 2 2 7" xfId="1715" xr:uid="{00000000-0005-0000-0000-00008B170000}"/>
    <cellStyle name="Normal 5 2 2 2 7 2" xfId="3945" xr:uid="{00000000-0005-0000-0000-00008C170000}"/>
    <cellStyle name="Normal 5 2 2 2 7 2 2" xfId="8169" xr:uid="{00000000-0005-0000-0000-00008D170000}"/>
    <cellStyle name="Normal 5 2 2 2 7 2 2 2" xfId="16598" xr:uid="{6CC89304-72CC-4238-946E-7431A78E7740}"/>
    <cellStyle name="Normal 5 2 2 2 7 2 3" xfId="12380" xr:uid="{BB1A0EAD-63D2-47AE-9479-7A26FECD724E}"/>
    <cellStyle name="Normal 5 2 2 2 7 3" xfId="6024" xr:uid="{00000000-0005-0000-0000-00008E170000}"/>
    <cellStyle name="Normal 5 2 2 2 7 3 2" xfId="14453" xr:uid="{DE693EF3-03D5-4FF3-8AB5-3E3CC1622486}"/>
    <cellStyle name="Normal 5 2 2 2 7 4" xfId="10235" xr:uid="{EF1CDF49-0F66-4D9E-A5FB-E2F834757FCA}"/>
    <cellStyle name="Normal 5 2 2 2 8" xfId="2129" xr:uid="{00000000-0005-0000-0000-00008F170000}"/>
    <cellStyle name="Normal 5 2 2 2 8 2" xfId="4358" xr:uid="{00000000-0005-0000-0000-000090170000}"/>
    <cellStyle name="Normal 5 2 2 2 8 2 2" xfId="8582" xr:uid="{00000000-0005-0000-0000-000091170000}"/>
    <cellStyle name="Normal 5 2 2 2 8 2 2 2" xfId="17011" xr:uid="{C7F87379-97D8-4243-92D4-619B8EF5E525}"/>
    <cellStyle name="Normal 5 2 2 2 8 2 3" xfId="12793" xr:uid="{6937F24A-2520-4DA5-9022-A7DDF795D475}"/>
    <cellStyle name="Normal 5 2 2 2 8 3" xfId="6437" xr:uid="{00000000-0005-0000-0000-000092170000}"/>
    <cellStyle name="Normal 5 2 2 2 8 3 2" xfId="14866" xr:uid="{7EEA4865-5BE4-41DD-9D26-2C56E67F4193}"/>
    <cellStyle name="Normal 5 2 2 2 8 4" xfId="10648" xr:uid="{6579D91B-5597-4BBA-92C2-FB309567697D}"/>
    <cellStyle name="Normal 5 2 2 2 9" xfId="2565" xr:uid="{00000000-0005-0000-0000-000093170000}"/>
    <cellStyle name="Normal 5 2 2 2 9 2" xfId="6850" xr:uid="{00000000-0005-0000-0000-000094170000}"/>
    <cellStyle name="Normal 5 2 2 2 9 2 2" xfId="15279" xr:uid="{86CDAD7C-D8E7-42C9-9FCC-B7C49D07A3F3}"/>
    <cellStyle name="Normal 5 2 2 2 9 3" xfId="11061" xr:uid="{15B50F78-D3E2-429A-8BF8-B276ED3AA9F0}"/>
    <cellStyle name="Normal 5 2 2 3" xfId="417" xr:uid="{00000000-0005-0000-0000-000095170000}"/>
    <cellStyle name="Normal 5 2 2 3 10" xfId="9004" xr:uid="{856C0C31-7129-4CA7-AB98-E3C773C9D614}"/>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2 2" xfId="15782" xr:uid="{6D61E4CB-7E88-4F74-A428-8628766DC073}"/>
    <cellStyle name="Normal 5 2 2 3 2 2 2 2 3" xfId="11564" xr:uid="{28B28B30-232B-453A-B07D-490C448606CC}"/>
    <cellStyle name="Normal 5 2 2 3 2 2 2 3" xfId="5208" xr:uid="{00000000-0005-0000-0000-00009B170000}"/>
    <cellStyle name="Normal 5 2 2 3 2 2 2 3 2" xfId="13637" xr:uid="{8953E5CE-C965-460D-834A-E0ED7DF2658A}"/>
    <cellStyle name="Normal 5 2 2 3 2 2 2 4" xfId="9419" xr:uid="{99FD8726-3E11-4BBC-9D84-2A62340356C6}"/>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2 2" xfId="16195" xr:uid="{666C36E0-E13D-49F5-AC31-DE885976CE2A}"/>
    <cellStyle name="Normal 5 2 2 3 2 2 3 2 3" xfId="11977" xr:uid="{8B5EAB51-D2F8-4CC0-A8FF-FC2F607A124B}"/>
    <cellStyle name="Normal 5 2 2 3 2 2 3 3" xfId="5621" xr:uid="{00000000-0005-0000-0000-00009F170000}"/>
    <cellStyle name="Normal 5 2 2 3 2 2 3 3 2" xfId="14050" xr:uid="{DC8F93CA-9113-4AE0-AA64-9A3E46800089}"/>
    <cellStyle name="Normal 5 2 2 3 2 2 3 4" xfId="9832" xr:uid="{11D10784-94B7-45BE-9D67-2E49D5643BA1}"/>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2 2" xfId="16608" xr:uid="{491AA21F-C1A0-4299-A77A-BE31C38F81A9}"/>
    <cellStyle name="Normal 5 2 2 3 2 2 4 2 3" xfId="12390" xr:uid="{B6EA580A-6F7E-4541-BA1E-3AB415B4D94E}"/>
    <cellStyle name="Normal 5 2 2 3 2 2 4 3" xfId="6034" xr:uid="{00000000-0005-0000-0000-0000A3170000}"/>
    <cellStyle name="Normal 5 2 2 3 2 2 4 3 2" xfId="14463" xr:uid="{56DBFBF6-7783-4807-BE65-512AC9C00966}"/>
    <cellStyle name="Normal 5 2 2 3 2 2 4 4" xfId="10245" xr:uid="{418A755C-A784-47DC-8E97-C30975FF85D5}"/>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2 2" xfId="17021" xr:uid="{CFEC2EA2-EA83-44F8-98C4-5D7CA63E5BD6}"/>
    <cellStyle name="Normal 5 2 2 3 2 2 5 2 3" xfId="12803" xr:uid="{F134A03B-C48C-47C9-A65E-F4DAB964CE98}"/>
    <cellStyle name="Normal 5 2 2 3 2 2 5 3" xfId="6447" xr:uid="{00000000-0005-0000-0000-0000A7170000}"/>
    <cellStyle name="Normal 5 2 2 3 2 2 5 3 2" xfId="14876" xr:uid="{9C210970-90D9-4CB6-8558-2AAA57864065}"/>
    <cellStyle name="Normal 5 2 2 3 2 2 5 4" xfId="10658" xr:uid="{65A7A35C-38E5-46B1-9167-48F400F58A94}"/>
    <cellStyle name="Normal 5 2 2 3 2 2 6" xfId="2575" xr:uid="{00000000-0005-0000-0000-0000A8170000}"/>
    <cellStyle name="Normal 5 2 2 3 2 2 6 2" xfId="6860" xr:uid="{00000000-0005-0000-0000-0000A9170000}"/>
    <cellStyle name="Normal 5 2 2 3 2 2 6 2 2" xfId="15289" xr:uid="{43E71D02-84AA-4422-844A-29DA12DA9628}"/>
    <cellStyle name="Normal 5 2 2 3 2 2 6 3" xfId="11071" xr:uid="{72051361-7AF7-470F-B5A2-2B4DDF58BBFC}"/>
    <cellStyle name="Normal 5 2 2 3 2 2 7" xfId="4795" xr:uid="{00000000-0005-0000-0000-0000AA170000}"/>
    <cellStyle name="Normal 5 2 2 3 2 2 7 2" xfId="13224" xr:uid="{6E0E5414-9D02-408E-BA4E-90A0349DDB07}"/>
    <cellStyle name="Normal 5 2 2 3 2 2 8" xfId="9006" xr:uid="{94985B78-3A6C-43FA-A593-9B52F038B156}"/>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2 2" xfId="15781" xr:uid="{807323B0-469E-49CA-BCCE-ACE8AAFBF656}"/>
    <cellStyle name="Normal 5 2 2 3 2 3 2 3" xfId="11563" xr:uid="{4159C8D8-A7EC-43D0-95BC-6DAC2187C952}"/>
    <cellStyle name="Normal 5 2 2 3 2 3 3" xfId="5207" xr:uid="{00000000-0005-0000-0000-0000AE170000}"/>
    <cellStyle name="Normal 5 2 2 3 2 3 3 2" xfId="13636" xr:uid="{88323CA7-BE6F-4DF1-8FED-BEE781A4A80E}"/>
    <cellStyle name="Normal 5 2 2 3 2 3 4" xfId="9418" xr:uid="{EDFFF997-1D9B-4D6B-9332-73736D0D3397}"/>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2 2" xfId="16194" xr:uid="{F7F74D13-642C-41B8-B128-11F928530BE0}"/>
    <cellStyle name="Normal 5 2 2 3 2 4 2 3" xfId="11976" xr:uid="{C3D2A967-2CB2-4C41-BEE2-A9C25616A9E2}"/>
    <cellStyle name="Normal 5 2 2 3 2 4 3" xfId="5620" xr:uid="{00000000-0005-0000-0000-0000B2170000}"/>
    <cellStyle name="Normal 5 2 2 3 2 4 3 2" xfId="14049" xr:uid="{535619E3-92F6-4B2E-8743-4DA7003138C3}"/>
    <cellStyle name="Normal 5 2 2 3 2 4 4" xfId="9831" xr:uid="{C3B3922C-3393-4109-8418-259D274295A1}"/>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2 2" xfId="16607" xr:uid="{E4E8569F-4BFD-47F6-8452-D02309FECFEC}"/>
    <cellStyle name="Normal 5 2 2 3 2 5 2 3" xfId="12389" xr:uid="{135A57FF-63AA-4978-9D6E-88C77A23C46A}"/>
    <cellStyle name="Normal 5 2 2 3 2 5 3" xfId="6033" xr:uid="{00000000-0005-0000-0000-0000B6170000}"/>
    <cellStyle name="Normal 5 2 2 3 2 5 3 2" xfId="14462" xr:uid="{5D341139-C093-4FF9-B915-F8779B62CDA0}"/>
    <cellStyle name="Normal 5 2 2 3 2 5 4" xfId="10244" xr:uid="{A7ACF803-BC48-4749-B7D3-A3FCAB7E5AE2}"/>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2 2" xfId="17020" xr:uid="{0270158B-B0D0-466F-BDA0-1081D8802F40}"/>
    <cellStyle name="Normal 5 2 2 3 2 6 2 3" xfId="12802" xr:uid="{0D7EE51B-75C3-4FAF-8CFB-E29979E033D3}"/>
    <cellStyle name="Normal 5 2 2 3 2 6 3" xfId="6446" xr:uid="{00000000-0005-0000-0000-0000BA170000}"/>
    <cellStyle name="Normal 5 2 2 3 2 6 3 2" xfId="14875" xr:uid="{65A4DC15-D461-49C4-910C-4B514A9906C2}"/>
    <cellStyle name="Normal 5 2 2 3 2 6 4" xfId="10657" xr:uid="{208046B8-360C-4F95-A3AB-8F7B2624DB20}"/>
    <cellStyle name="Normal 5 2 2 3 2 7" xfId="2574" xr:uid="{00000000-0005-0000-0000-0000BB170000}"/>
    <cellStyle name="Normal 5 2 2 3 2 7 2" xfId="6859" xr:uid="{00000000-0005-0000-0000-0000BC170000}"/>
    <cellStyle name="Normal 5 2 2 3 2 7 2 2" xfId="15288" xr:uid="{95C77A89-E06A-46BB-AC40-52F6AFECFD62}"/>
    <cellStyle name="Normal 5 2 2 3 2 7 3" xfId="11070" xr:uid="{75A49C45-5FE6-489B-B7A8-0923DA8B149F}"/>
    <cellStyle name="Normal 5 2 2 3 2 8" xfId="4794" xr:uid="{00000000-0005-0000-0000-0000BD170000}"/>
    <cellStyle name="Normal 5 2 2 3 2 8 2" xfId="13223" xr:uid="{B61FCCCA-52DA-4D50-8E97-964A45611968}"/>
    <cellStyle name="Normal 5 2 2 3 2 9" xfId="9005" xr:uid="{0C6A1994-1F84-44AB-9F4D-CF29DA62E1DC}"/>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2 2" xfId="15783" xr:uid="{D8F750F3-45B3-46E6-8A6C-D9032F1A5A37}"/>
    <cellStyle name="Normal 5 2 2 3 3 2 2 3" xfId="11565" xr:uid="{9BFC098E-7FC1-4B2C-A9EE-2C9EAA5201B2}"/>
    <cellStyle name="Normal 5 2 2 3 3 2 3" xfId="5209" xr:uid="{00000000-0005-0000-0000-0000C2170000}"/>
    <cellStyle name="Normal 5 2 2 3 3 2 3 2" xfId="13638" xr:uid="{48C1FCBC-7ECF-4291-B0AA-119D99413FC3}"/>
    <cellStyle name="Normal 5 2 2 3 3 2 4" xfId="9420" xr:uid="{D05081AE-391B-41BA-A619-9E4A62D1C483}"/>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2 2" xfId="16196" xr:uid="{281FB83F-2114-4C8C-A73D-4C1252BE23FA}"/>
    <cellStyle name="Normal 5 2 2 3 3 3 2 3" xfId="11978" xr:uid="{B0D08410-8F38-404B-B009-724B350D2959}"/>
    <cellStyle name="Normal 5 2 2 3 3 3 3" xfId="5622" xr:uid="{00000000-0005-0000-0000-0000C6170000}"/>
    <cellStyle name="Normal 5 2 2 3 3 3 3 2" xfId="14051" xr:uid="{08F4EB1C-EADE-4F56-9EDC-F90CD4EAB3F0}"/>
    <cellStyle name="Normal 5 2 2 3 3 3 4" xfId="9833" xr:uid="{D25A3F35-1292-432D-91D1-FA0C2849F902}"/>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2 2" xfId="16609" xr:uid="{D69860C5-42FD-466C-B6E3-31FFF7DA3794}"/>
    <cellStyle name="Normal 5 2 2 3 3 4 2 3" xfId="12391" xr:uid="{A2C5925B-85EE-4F7D-A17D-FFA2FCAC3582}"/>
    <cellStyle name="Normal 5 2 2 3 3 4 3" xfId="6035" xr:uid="{00000000-0005-0000-0000-0000CA170000}"/>
    <cellStyle name="Normal 5 2 2 3 3 4 3 2" xfId="14464" xr:uid="{53FACF65-33F9-4E02-AB2F-9716125F0547}"/>
    <cellStyle name="Normal 5 2 2 3 3 4 4" xfId="10246" xr:uid="{AE729C78-54F9-4C59-8AB9-E9C398C61DBB}"/>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2 2" xfId="17022" xr:uid="{76715841-56D7-43B1-80C4-8D76379FBB53}"/>
    <cellStyle name="Normal 5 2 2 3 3 5 2 3" xfId="12804" xr:uid="{38802DFA-5F3B-47C7-B82D-A1AEEE6DDA09}"/>
    <cellStyle name="Normal 5 2 2 3 3 5 3" xfId="6448" xr:uid="{00000000-0005-0000-0000-0000CE170000}"/>
    <cellStyle name="Normal 5 2 2 3 3 5 3 2" xfId="14877" xr:uid="{30B333B7-6676-4E45-B9FD-C8A81C8E9598}"/>
    <cellStyle name="Normal 5 2 2 3 3 5 4" xfId="10659" xr:uid="{DD28DF96-622A-435F-A451-94339D120FFE}"/>
    <cellStyle name="Normal 5 2 2 3 3 6" xfId="2576" xr:uid="{00000000-0005-0000-0000-0000CF170000}"/>
    <cellStyle name="Normal 5 2 2 3 3 6 2" xfId="6861" xr:uid="{00000000-0005-0000-0000-0000D0170000}"/>
    <cellStyle name="Normal 5 2 2 3 3 6 2 2" xfId="15290" xr:uid="{77471FA8-B5F8-4579-B78D-B57B3700F78C}"/>
    <cellStyle name="Normal 5 2 2 3 3 6 3" xfId="11072" xr:uid="{F55FC928-3BDC-43B2-B745-5563B3C5941F}"/>
    <cellStyle name="Normal 5 2 2 3 3 7" xfId="4796" xr:uid="{00000000-0005-0000-0000-0000D1170000}"/>
    <cellStyle name="Normal 5 2 2 3 3 7 2" xfId="13225" xr:uid="{FB247A0C-FE23-41E5-94F6-34AE94055460}"/>
    <cellStyle name="Normal 5 2 2 3 3 8" xfId="9007" xr:uid="{D5E0723A-B9CA-4DB0-929E-DEE912B43387}"/>
    <cellStyle name="Normal 5 2 2 3 4" xfId="892" xr:uid="{00000000-0005-0000-0000-0000D2170000}"/>
    <cellStyle name="Normal 5 2 2 3 4 2" xfId="3127" xr:uid="{00000000-0005-0000-0000-0000D3170000}"/>
    <cellStyle name="Normal 5 2 2 3 4 2 2" xfId="7351" xr:uid="{00000000-0005-0000-0000-0000D4170000}"/>
    <cellStyle name="Normal 5 2 2 3 4 2 2 2" xfId="15780" xr:uid="{180249F8-AC10-4073-96B8-354B7C01D428}"/>
    <cellStyle name="Normal 5 2 2 3 4 2 3" xfId="11562" xr:uid="{3653095F-F35A-42DB-9876-F404AB826DF7}"/>
    <cellStyle name="Normal 5 2 2 3 4 3" xfId="5206" xr:uid="{00000000-0005-0000-0000-0000D5170000}"/>
    <cellStyle name="Normal 5 2 2 3 4 3 2" xfId="13635" xr:uid="{5987F64F-7FD4-47C2-BD40-E6C101BC7605}"/>
    <cellStyle name="Normal 5 2 2 3 4 4" xfId="9417" xr:uid="{FC9B2E4A-D0F3-4F9A-A486-E090A6A053E0}"/>
    <cellStyle name="Normal 5 2 2 3 5" xfId="1310" xr:uid="{00000000-0005-0000-0000-0000D6170000}"/>
    <cellStyle name="Normal 5 2 2 3 5 2" xfId="3540" xr:uid="{00000000-0005-0000-0000-0000D7170000}"/>
    <cellStyle name="Normal 5 2 2 3 5 2 2" xfId="7764" xr:uid="{00000000-0005-0000-0000-0000D8170000}"/>
    <cellStyle name="Normal 5 2 2 3 5 2 2 2" xfId="16193" xr:uid="{3468B06D-3535-4956-889F-ACE0EA73CF08}"/>
    <cellStyle name="Normal 5 2 2 3 5 2 3" xfId="11975" xr:uid="{0A09A007-023A-4257-A086-5365A3F67491}"/>
    <cellStyle name="Normal 5 2 2 3 5 3" xfId="5619" xr:uid="{00000000-0005-0000-0000-0000D9170000}"/>
    <cellStyle name="Normal 5 2 2 3 5 3 2" xfId="14048" xr:uid="{FE04E7FA-3EE1-4494-9AFD-2C9737FA51D6}"/>
    <cellStyle name="Normal 5 2 2 3 5 4" xfId="9830" xr:uid="{58F08420-FF0B-4C62-BB13-AA2767AE3959}"/>
    <cellStyle name="Normal 5 2 2 3 6" xfId="1723" xr:uid="{00000000-0005-0000-0000-0000DA170000}"/>
    <cellStyle name="Normal 5 2 2 3 6 2" xfId="3953" xr:uid="{00000000-0005-0000-0000-0000DB170000}"/>
    <cellStyle name="Normal 5 2 2 3 6 2 2" xfId="8177" xr:uid="{00000000-0005-0000-0000-0000DC170000}"/>
    <cellStyle name="Normal 5 2 2 3 6 2 2 2" xfId="16606" xr:uid="{E6244A57-EBA4-41F5-A0DC-6E2E1C85D05E}"/>
    <cellStyle name="Normal 5 2 2 3 6 2 3" xfId="12388" xr:uid="{CEF4051F-06A5-4B03-B6EA-C36305ED0B7F}"/>
    <cellStyle name="Normal 5 2 2 3 6 3" xfId="6032" xr:uid="{00000000-0005-0000-0000-0000DD170000}"/>
    <cellStyle name="Normal 5 2 2 3 6 3 2" xfId="14461" xr:uid="{38B64202-47FA-4487-BE2C-0C38EFE839B5}"/>
    <cellStyle name="Normal 5 2 2 3 6 4" xfId="10243" xr:uid="{F256DFB3-4E0A-42B6-9222-4FE8B2B4A138}"/>
    <cellStyle name="Normal 5 2 2 3 7" xfId="2137" xr:uid="{00000000-0005-0000-0000-0000DE170000}"/>
    <cellStyle name="Normal 5 2 2 3 7 2" xfId="4366" xr:uid="{00000000-0005-0000-0000-0000DF170000}"/>
    <cellStyle name="Normal 5 2 2 3 7 2 2" xfId="8590" xr:uid="{00000000-0005-0000-0000-0000E0170000}"/>
    <cellStyle name="Normal 5 2 2 3 7 2 2 2" xfId="17019" xr:uid="{80BB7AE8-D3B3-4C16-83B7-577E96B42DBC}"/>
    <cellStyle name="Normal 5 2 2 3 7 2 3" xfId="12801" xr:uid="{3C774425-5AFF-4BA7-99C6-AB3DC09F198C}"/>
    <cellStyle name="Normal 5 2 2 3 7 3" xfId="6445" xr:uid="{00000000-0005-0000-0000-0000E1170000}"/>
    <cellStyle name="Normal 5 2 2 3 7 3 2" xfId="14874" xr:uid="{B561A821-547A-485F-AC3B-39E4E5BBA11C}"/>
    <cellStyle name="Normal 5 2 2 3 7 4" xfId="10656" xr:uid="{DF66FA51-C005-40CE-838C-BDE523FEA4A3}"/>
    <cellStyle name="Normal 5 2 2 3 8" xfId="2573" xr:uid="{00000000-0005-0000-0000-0000E2170000}"/>
    <cellStyle name="Normal 5 2 2 3 8 2" xfId="6858" xr:uid="{00000000-0005-0000-0000-0000E3170000}"/>
    <cellStyle name="Normal 5 2 2 3 8 2 2" xfId="15287" xr:uid="{CE83BD63-B3DA-40F6-BE0E-B15DF47CCC9B}"/>
    <cellStyle name="Normal 5 2 2 3 8 3" xfId="11069" xr:uid="{09576A7B-2DFF-4291-BFB9-610FDBF432D0}"/>
    <cellStyle name="Normal 5 2 2 3 9" xfId="4793" xr:uid="{00000000-0005-0000-0000-0000E4170000}"/>
    <cellStyle name="Normal 5 2 2 3 9 2" xfId="13222" xr:uid="{04466EF3-E5E0-4E2C-A4D5-721B30922854}"/>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2 2" xfId="15785" xr:uid="{DC55BCE6-E5BA-49A0-A249-CC49D8432990}"/>
    <cellStyle name="Normal 5 2 2 4 2 2 2 3" xfId="11567" xr:uid="{D7468319-8FA3-4FBE-A40D-07AE8AD43FD3}"/>
    <cellStyle name="Normal 5 2 2 4 2 2 3" xfId="5211" xr:uid="{00000000-0005-0000-0000-0000EA170000}"/>
    <cellStyle name="Normal 5 2 2 4 2 2 3 2" xfId="13640" xr:uid="{B67AE580-D004-47AF-A67C-E26966C136D7}"/>
    <cellStyle name="Normal 5 2 2 4 2 2 4" xfId="9422" xr:uid="{6D64201F-0886-4841-9FB3-44F5C8A1F717}"/>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2 2" xfId="16198" xr:uid="{C877C90A-B5C6-4C38-A467-C8B5F12B2799}"/>
    <cellStyle name="Normal 5 2 2 4 2 3 2 3" xfId="11980" xr:uid="{F5C7F4AD-2AA1-428F-A5D2-8B68599BF82F}"/>
    <cellStyle name="Normal 5 2 2 4 2 3 3" xfId="5624" xr:uid="{00000000-0005-0000-0000-0000EE170000}"/>
    <cellStyle name="Normal 5 2 2 4 2 3 3 2" xfId="14053" xr:uid="{36684BD9-59F5-45FC-A99C-72D586FDE804}"/>
    <cellStyle name="Normal 5 2 2 4 2 3 4" xfId="9835" xr:uid="{1C04694F-802E-4D6C-86C3-67BF6B66696D}"/>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2 2" xfId="16611" xr:uid="{10B9657D-304F-48A6-902F-340362BEE8D5}"/>
    <cellStyle name="Normal 5 2 2 4 2 4 2 3" xfId="12393" xr:uid="{058E0F8F-71E4-493B-B79B-65467C7D18CF}"/>
    <cellStyle name="Normal 5 2 2 4 2 4 3" xfId="6037" xr:uid="{00000000-0005-0000-0000-0000F2170000}"/>
    <cellStyle name="Normal 5 2 2 4 2 4 3 2" xfId="14466" xr:uid="{31706BC2-E9EE-439C-9A3E-17FE56365A2D}"/>
    <cellStyle name="Normal 5 2 2 4 2 4 4" xfId="10248" xr:uid="{068779BF-0C8B-4257-B9FA-99E129D186EC}"/>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2 2" xfId="17024" xr:uid="{88AB6058-3FD9-4CFC-9AB9-8DB36A8DF780}"/>
    <cellStyle name="Normal 5 2 2 4 2 5 2 3" xfId="12806" xr:uid="{AE3AE824-61B1-47D7-89BC-072D2AD90486}"/>
    <cellStyle name="Normal 5 2 2 4 2 5 3" xfId="6450" xr:uid="{00000000-0005-0000-0000-0000F6170000}"/>
    <cellStyle name="Normal 5 2 2 4 2 5 3 2" xfId="14879" xr:uid="{927C7067-789B-4835-B9F2-897C33344D1A}"/>
    <cellStyle name="Normal 5 2 2 4 2 5 4" xfId="10661" xr:uid="{9A4245FA-2223-472E-8FB2-B6EFD0F95734}"/>
    <cellStyle name="Normal 5 2 2 4 2 6" xfId="2578" xr:uid="{00000000-0005-0000-0000-0000F7170000}"/>
    <cellStyle name="Normal 5 2 2 4 2 6 2" xfId="6863" xr:uid="{00000000-0005-0000-0000-0000F8170000}"/>
    <cellStyle name="Normal 5 2 2 4 2 6 2 2" xfId="15292" xr:uid="{F4A1FE5C-81F3-4B84-9F74-35B574E15D01}"/>
    <cellStyle name="Normal 5 2 2 4 2 6 3" xfId="11074" xr:uid="{42E80C6A-9755-44EF-80DD-2D02A671C73F}"/>
    <cellStyle name="Normal 5 2 2 4 2 7" xfId="4798" xr:uid="{00000000-0005-0000-0000-0000F9170000}"/>
    <cellStyle name="Normal 5 2 2 4 2 7 2" xfId="13227" xr:uid="{6D59E553-90E9-4FBE-A730-8106E2175ED5}"/>
    <cellStyle name="Normal 5 2 2 4 2 8" xfId="9009" xr:uid="{18DA503F-B378-4682-9DA3-D0824933DE44}"/>
    <cellStyle name="Normal 5 2 2 4 3" xfId="896" xr:uid="{00000000-0005-0000-0000-0000FA170000}"/>
    <cellStyle name="Normal 5 2 2 4 3 2" xfId="3131" xr:uid="{00000000-0005-0000-0000-0000FB170000}"/>
    <cellStyle name="Normal 5 2 2 4 3 2 2" xfId="7355" xr:uid="{00000000-0005-0000-0000-0000FC170000}"/>
    <cellStyle name="Normal 5 2 2 4 3 2 2 2" xfId="15784" xr:uid="{113CD811-0ED2-4C5B-BA56-7218E032092F}"/>
    <cellStyle name="Normal 5 2 2 4 3 2 3" xfId="11566" xr:uid="{27FE43CF-BFC2-4531-B830-4A4405398F70}"/>
    <cellStyle name="Normal 5 2 2 4 3 3" xfId="5210" xr:uid="{00000000-0005-0000-0000-0000FD170000}"/>
    <cellStyle name="Normal 5 2 2 4 3 3 2" xfId="13639" xr:uid="{DA57A04B-C72D-4EA6-A6A9-013E8EF7A1DF}"/>
    <cellStyle name="Normal 5 2 2 4 3 4" xfId="9421" xr:uid="{B521695F-ED39-423E-ACF9-6F87CDF1F99F}"/>
    <cellStyle name="Normal 5 2 2 4 4" xfId="1314" xr:uid="{00000000-0005-0000-0000-0000FE170000}"/>
    <cellStyle name="Normal 5 2 2 4 4 2" xfId="3544" xr:uid="{00000000-0005-0000-0000-0000FF170000}"/>
    <cellStyle name="Normal 5 2 2 4 4 2 2" xfId="7768" xr:uid="{00000000-0005-0000-0000-000000180000}"/>
    <cellStyle name="Normal 5 2 2 4 4 2 2 2" xfId="16197" xr:uid="{06458C99-868C-4E32-838D-BD7B0083CC86}"/>
    <cellStyle name="Normal 5 2 2 4 4 2 3" xfId="11979" xr:uid="{3F060209-91E7-41C6-B4CB-2506EAC4DF64}"/>
    <cellStyle name="Normal 5 2 2 4 4 3" xfId="5623" xr:uid="{00000000-0005-0000-0000-000001180000}"/>
    <cellStyle name="Normal 5 2 2 4 4 3 2" xfId="14052" xr:uid="{AC74A71A-FA86-4210-BDEA-91029FA559CA}"/>
    <cellStyle name="Normal 5 2 2 4 4 4" xfId="9834" xr:uid="{FC6ABF4A-7F78-4E64-A9F1-67C99DD8D0F4}"/>
    <cellStyle name="Normal 5 2 2 4 5" xfId="1727" xr:uid="{00000000-0005-0000-0000-000002180000}"/>
    <cellStyle name="Normal 5 2 2 4 5 2" xfId="3957" xr:uid="{00000000-0005-0000-0000-000003180000}"/>
    <cellStyle name="Normal 5 2 2 4 5 2 2" xfId="8181" xr:uid="{00000000-0005-0000-0000-000004180000}"/>
    <cellStyle name="Normal 5 2 2 4 5 2 2 2" xfId="16610" xr:uid="{12C865EE-94AD-463D-B22C-3D16F5DE3C26}"/>
    <cellStyle name="Normal 5 2 2 4 5 2 3" xfId="12392" xr:uid="{B52A61CB-47EF-427A-BFFE-7C60D250A8CD}"/>
    <cellStyle name="Normal 5 2 2 4 5 3" xfId="6036" xr:uid="{00000000-0005-0000-0000-000005180000}"/>
    <cellStyle name="Normal 5 2 2 4 5 3 2" xfId="14465" xr:uid="{F013CACD-3CA8-461B-A69F-DEFF872508FF}"/>
    <cellStyle name="Normal 5 2 2 4 5 4" xfId="10247" xr:uid="{B5083F22-7D3A-43B7-B772-9E1E08421E79}"/>
    <cellStyle name="Normal 5 2 2 4 6" xfId="2141" xr:uid="{00000000-0005-0000-0000-000006180000}"/>
    <cellStyle name="Normal 5 2 2 4 6 2" xfId="4370" xr:uid="{00000000-0005-0000-0000-000007180000}"/>
    <cellStyle name="Normal 5 2 2 4 6 2 2" xfId="8594" xr:uid="{00000000-0005-0000-0000-000008180000}"/>
    <cellStyle name="Normal 5 2 2 4 6 2 2 2" xfId="17023" xr:uid="{0715A5B3-06D9-4162-A98A-404402691A66}"/>
    <cellStyle name="Normal 5 2 2 4 6 2 3" xfId="12805" xr:uid="{EFC99909-5B2D-4637-884E-D5F000D2F7FD}"/>
    <cellStyle name="Normal 5 2 2 4 6 3" xfId="6449" xr:uid="{00000000-0005-0000-0000-000009180000}"/>
    <cellStyle name="Normal 5 2 2 4 6 3 2" xfId="14878" xr:uid="{526361EA-4971-4D8C-807F-3C02A87D55C7}"/>
    <cellStyle name="Normal 5 2 2 4 6 4" xfId="10660" xr:uid="{4453417B-D74A-4044-9E67-4C79BD19B075}"/>
    <cellStyle name="Normal 5 2 2 4 7" xfId="2577" xr:uid="{00000000-0005-0000-0000-00000A180000}"/>
    <cellStyle name="Normal 5 2 2 4 7 2" xfId="6862" xr:uid="{00000000-0005-0000-0000-00000B180000}"/>
    <cellStyle name="Normal 5 2 2 4 7 2 2" xfId="15291" xr:uid="{9C06B340-365E-4327-B515-B7892EF9A8F3}"/>
    <cellStyle name="Normal 5 2 2 4 7 3" xfId="11073" xr:uid="{B83509CB-C0A7-49CA-BD6B-94969E60968F}"/>
    <cellStyle name="Normal 5 2 2 4 8" xfId="4797" xr:uid="{00000000-0005-0000-0000-00000C180000}"/>
    <cellStyle name="Normal 5 2 2 4 8 2" xfId="13226" xr:uid="{0B03572B-2C0E-43CC-9976-1AA952C627E1}"/>
    <cellStyle name="Normal 5 2 2 4 9" xfId="9008" xr:uid="{B3287EB7-EB70-46F5-8E4C-2F3DEBAA46C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2 2" xfId="15786" xr:uid="{A9DA03A3-3126-473B-A737-98D4E67149DB}"/>
    <cellStyle name="Normal 5 2 2 5 2 2 3" xfId="11568" xr:uid="{005691A3-FAD1-4514-B3EC-8E00799E7B30}"/>
    <cellStyle name="Normal 5 2 2 5 2 3" xfId="5212" xr:uid="{00000000-0005-0000-0000-000011180000}"/>
    <cellStyle name="Normal 5 2 2 5 2 3 2" xfId="13641" xr:uid="{5810C041-3A24-46A3-99E4-87C14D7AA8B6}"/>
    <cellStyle name="Normal 5 2 2 5 2 4" xfId="9423" xr:uid="{CD9FB2C3-C4B6-4218-B121-0487F5A83645}"/>
    <cellStyle name="Normal 5 2 2 5 3" xfId="1316" xr:uid="{00000000-0005-0000-0000-000012180000}"/>
    <cellStyle name="Normal 5 2 2 5 3 2" xfId="3546" xr:uid="{00000000-0005-0000-0000-000013180000}"/>
    <cellStyle name="Normal 5 2 2 5 3 2 2" xfId="7770" xr:uid="{00000000-0005-0000-0000-000014180000}"/>
    <cellStyle name="Normal 5 2 2 5 3 2 2 2" xfId="16199" xr:uid="{CE2ACC4A-51D8-445E-B131-7AA51010F16F}"/>
    <cellStyle name="Normal 5 2 2 5 3 2 3" xfId="11981" xr:uid="{C58E66AF-5BB4-497F-8BC4-F4FF184D447B}"/>
    <cellStyle name="Normal 5 2 2 5 3 3" xfId="5625" xr:uid="{00000000-0005-0000-0000-000015180000}"/>
    <cellStyle name="Normal 5 2 2 5 3 3 2" xfId="14054" xr:uid="{1E609864-AE0D-45B0-9645-0F650BD83A0E}"/>
    <cellStyle name="Normal 5 2 2 5 3 4" xfId="9836" xr:uid="{527FFDDA-489F-4C3B-BB0E-67AA9329ED10}"/>
    <cellStyle name="Normal 5 2 2 5 4" xfId="1729" xr:uid="{00000000-0005-0000-0000-000016180000}"/>
    <cellStyle name="Normal 5 2 2 5 4 2" xfId="3959" xr:uid="{00000000-0005-0000-0000-000017180000}"/>
    <cellStyle name="Normal 5 2 2 5 4 2 2" xfId="8183" xr:uid="{00000000-0005-0000-0000-000018180000}"/>
    <cellStyle name="Normal 5 2 2 5 4 2 2 2" xfId="16612" xr:uid="{6CBCD9A8-94AF-4F57-BA5D-39C27A866C39}"/>
    <cellStyle name="Normal 5 2 2 5 4 2 3" xfId="12394" xr:uid="{691F2448-823E-4E12-99CD-6EE949D609D4}"/>
    <cellStyle name="Normal 5 2 2 5 4 3" xfId="6038" xr:uid="{00000000-0005-0000-0000-000019180000}"/>
    <cellStyle name="Normal 5 2 2 5 4 3 2" xfId="14467" xr:uid="{9AEA5D09-EB85-4B7E-8E27-D65C7E75A18D}"/>
    <cellStyle name="Normal 5 2 2 5 4 4" xfId="10249" xr:uid="{69B82B6C-0704-4C19-B764-F3322CA4C430}"/>
    <cellStyle name="Normal 5 2 2 5 5" xfId="2143" xr:uid="{00000000-0005-0000-0000-00001A180000}"/>
    <cellStyle name="Normal 5 2 2 5 5 2" xfId="4372" xr:uid="{00000000-0005-0000-0000-00001B180000}"/>
    <cellStyle name="Normal 5 2 2 5 5 2 2" xfId="8596" xr:uid="{00000000-0005-0000-0000-00001C180000}"/>
    <cellStyle name="Normal 5 2 2 5 5 2 2 2" xfId="17025" xr:uid="{312C9A37-ED7E-48B9-A2E8-F1F84072FF3F}"/>
    <cellStyle name="Normal 5 2 2 5 5 2 3" xfId="12807" xr:uid="{B34D31FF-9E67-4812-A071-C13E3C9DECA5}"/>
    <cellStyle name="Normal 5 2 2 5 5 3" xfId="6451" xr:uid="{00000000-0005-0000-0000-00001D180000}"/>
    <cellStyle name="Normal 5 2 2 5 5 3 2" xfId="14880" xr:uid="{DDA090E5-967B-4C47-B58A-265820F6AB5B}"/>
    <cellStyle name="Normal 5 2 2 5 5 4" xfId="10662" xr:uid="{4F67F59F-7224-419F-9F86-9A1C1C159827}"/>
    <cellStyle name="Normal 5 2 2 5 6" xfId="2579" xr:uid="{00000000-0005-0000-0000-00001E180000}"/>
    <cellStyle name="Normal 5 2 2 5 6 2" xfId="6864" xr:uid="{00000000-0005-0000-0000-00001F180000}"/>
    <cellStyle name="Normal 5 2 2 5 6 2 2" xfId="15293" xr:uid="{B2EDC95E-195C-42B3-B0CD-91C1DDF42FC4}"/>
    <cellStyle name="Normal 5 2 2 5 6 3" xfId="11075" xr:uid="{09EEF45E-4AF9-4A39-9D27-D34049EF1A29}"/>
    <cellStyle name="Normal 5 2 2 5 7" xfId="4799" xr:uid="{00000000-0005-0000-0000-000020180000}"/>
    <cellStyle name="Normal 5 2 2 5 7 2" xfId="13228" xr:uid="{A81AF4B5-BE88-4D15-91F3-AC99CA8393E3}"/>
    <cellStyle name="Normal 5 2 2 5 8" xfId="9010" xr:uid="{5F499615-6691-40BC-9C16-8F4A5EE0885F}"/>
    <cellStyle name="Normal 5 2 2 6" xfId="883" xr:uid="{00000000-0005-0000-0000-000021180000}"/>
    <cellStyle name="Normal 5 2 2 6 2" xfId="3118" xr:uid="{00000000-0005-0000-0000-000022180000}"/>
    <cellStyle name="Normal 5 2 2 6 2 2" xfId="7342" xr:uid="{00000000-0005-0000-0000-000023180000}"/>
    <cellStyle name="Normal 5 2 2 6 2 2 2" xfId="15771" xr:uid="{5D60D09E-DA1E-4BA2-8DC7-8393024E7694}"/>
    <cellStyle name="Normal 5 2 2 6 2 3" xfId="11553" xr:uid="{D72815AF-2B5D-4512-9329-E959609BEF61}"/>
    <cellStyle name="Normal 5 2 2 6 3" xfId="5197" xr:uid="{00000000-0005-0000-0000-000024180000}"/>
    <cellStyle name="Normal 5 2 2 6 3 2" xfId="13626" xr:uid="{4DA619CA-40FA-481F-9501-EED6E45ABC51}"/>
    <cellStyle name="Normal 5 2 2 6 4" xfId="9408" xr:uid="{0AD7E4ED-5914-4861-ABC2-ECE0DB7CC643}"/>
    <cellStyle name="Normal 5 2 2 7" xfId="1301" xr:uid="{00000000-0005-0000-0000-000025180000}"/>
    <cellStyle name="Normal 5 2 2 7 2" xfId="3531" xr:uid="{00000000-0005-0000-0000-000026180000}"/>
    <cellStyle name="Normal 5 2 2 7 2 2" xfId="7755" xr:uid="{00000000-0005-0000-0000-000027180000}"/>
    <cellStyle name="Normal 5 2 2 7 2 2 2" xfId="16184" xr:uid="{13D93858-C291-4E74-9AF7-FE241EEAD9EC}"/>
    <cellStyle name="Normal 5 2 2 7 2 3" xfId="11966" xr:uid="{40C2F5EE-21E7-4143-854A-79E3D857A2B0}"/>
    <cellStyle name="Normal 5 2 2 7 3" xfId="5610" xr:uid="{00000000-0005-0000-0000-000028180000}"/>
    <cellStyle name="Normal 5 2 2 7 3 2" xfId="14039" xr:uid="{E02A92B2-910F-4DA1-8B3E-079798BD922B}"/>
    <cellStyle name="Normal 5 2 2 7 4" xfId="9821" xr:uid="{8A529B82-9976-42FD-9A2F-CC4B465A9B91}"/>
    <cellStyle name="Normal 5 2 2 8" xfId="1714" xr:uid="{00000000-0005-0000-0000-000029180000}"/>
    <cellStyle name="Normal 5 2 2 8 2" xfId="3944" xr:uid="{00000000-0005-0000-0000-00002A180000}"/>
    <cellStyle name="Normal 5 2 2 8 2 2" xfId="8168" xr:uid="{00000000-0005-0000-0000-00002B180000}"/>
    <cellStyle name="Normal 5 2 2 8 2 2 2" xfId="16597" xr:uid="{3484B917-DEFA-47C5-B47F-3CCEDED65643}"/>
    <cellStyle name="Normal 5 2 2 8 2 3" xfId="12379" xr:uid="{6E7E033C-2272-4E2C-B7E9-90E15378FCB6}"/>
    <cellStyle name="Normal 5 2 2 8 3" xfId="6023" xr:uid="{00000000-0005-0000-0000-00002C180000}"/>
    <cellStyle name="Normal 5 2 2 8 3 2" xfId="14452" xr:uid="{05A43EE1-64AF-4689-9FE1-85687C1981E5}"/>
    <cellStyle name="Normal 5 2 2 8 4" xfId="10234" xr:uid="{C98F6023-6448-44C4-8542-733D1C149E6F}"/>
    <cellStyle name="Normal 5 2 2 9" xfId="2128" xr:uid="{00000000-0005-0000-0000-00002D180000}"/>
    <cellStyle name="Normal 5 2 2 9 2" xfId="4357" xr:uid="{00000000-0005-0000-0000-00002E180000}"/>
    <cellStyle name="Normal 5 2 2 9 2 2" xfId="8581" xr:uid="{00000000-0005-0000-0000-00002F180000}"/>
    <cellStyle name="Normal 5 2 2 9 2 2 2" xfId="17010" xr:uid="{21AB1454-9513-436A-B93C-1459B2BC6EF7}"/>
    <cellStyle name="Normal 5 2 2 9 2 3" xfId="12792" xr:uid="{4D6BB997-7E26-41E3-A8AD-87F863514637}"/>
    <cellStyle name="Normal 5 2 2 9 3" xfId="6436" xr:uid="{00000000-0005-0000-0000-000030180000}"/>
    <cellStyle name="Normal 5 2 2 9 3 2" xfId="14865" xr:uid="{2CC41521-09C7-4AC1-80DC-8F0965CEFF3F}"/>
    <cellStyle name="Normal 5 2 2 9 4" xfId="10647" xr:uid="{B223880A-8129-4CC6-9B7D-AA8743942691}"/>
    <cellStyle name="Normal 5 2 3" xfId="424" xr:uid="{00000000-0005-0000-0000-000031180000}"/>
    <cellStyle name="Normal 5 2 3 10" xfId="4800" xr:uid="{00000000-0005-0000-0000-000032180000}"/>
    <cellStyle name="Normal 5 2 3 10 2" xfId="13229" xr:uid="{45C6A9D9-56F2-4542-B19D-8396004627EA}"/>
    <cellStyle name="Normal 5 2 3 11" xfId="9011" xr:uid="{019622B8-CA10-4DB8-8384-1EECD29F5E72}"/>
    <cellStyle name="Normal 5 2 3 2" xfId="425" xr:uid="{00000000-0005-0000-0000-000033180000}"/>
    <cellStyle name="Normal 5 2 3 2 10" xfId="9012" xr:uid="{24405D51-E1FB-4C04-8FA8-513744B2E54E}"/>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2 2" xfId="15790" xr:uid="{0C3E5545-8EDE-4831-BEF9-AF427EB582F7}"/>
    <cellStyle name="Normal 5 2 3 2 2 2 2 2 3" xfId="11572" xr:uid="{56BBE416-FA8B-47B7-8A9D-A3E6F297EC1B}"/>
    <cellStyle name="Normal 5 2 3 2 2 2 2 3" xfId="5216" xr:uid="{00000000-0005-0000-0000-000039180000}"/>
    <cellStyle name="Normal 5 2 3 2 2 2 2 3 2" xfId="13645" xr:uid="{F68D2A3C-363B-440F-BAE9-4060B58427FD}"/>
    <cellStyle name="Normal 5 2 3 2 2 2 2 4" xfId="9427" xr:uid="{13B23DE7-7BBF-4B5F-9356-9598C92161C4}"/>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2 2" xfId="16203" xr:uid="{97A813DA-7A6A-40CF-A61A-EBCC71B72794}"/>
    <cellStyle name="Normal 5 2 3 2 2 2 3 2 3" xfId="11985" xr:uid="{16895D3F-7FE9-4025-853B-769C0A5550B1}"/>
    <cellStyle name="Normal 5 2 3 2 2 2 3 3" xfId="5629" xr:uid="{00000000-0005-0000-0000-00003D180000}"/>
    <cellStyle name="Normal 5 2 3 2 2 2 3 3 2" xfId="14058" xr:uid="{5A08B7F1-4CD8-4489-BE17-33EDD9D9733A}"/>
    <cellStyle name="Normal 5 2 3 2 2 2 3 4" xfId="9840" xr:uid="{71C97568-92B7-4B3E-997A-65E2A76A285E}"/>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2 2" xfId="16616" xr:uid="{B395214C-F60C-4A32-9AC7-876F367DC87A}"/>
    <cellStyle name="Normal 5 2 3 2 2 2 4 2 3" xfId="12398" xr:uid="{CC772423-FD84-41C1-9099-81F1A2F57106}"/>
    <cellStyle name="Normal 5 2 3 2 2 2 4 3" xfId="6042" xr:uid="{00000000-0005-0000-0000-000041180000}"/>
    <cellStyle name="Normal 5 2 3 2 2 2 4 3 2" xfId="14471" xr:uid="{0E7ACA82-BBE5-4390-A182-0BB252F2B0A4}"/>
    <cellStyle name="Normal 5 2 3 2 2 2 4 4" xfId="10253" xr:uid="{6C238724-4777-4306-96D1-9567404A171C}"/>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2 2" xfId="17029" xr:uid="{131F4023-917B-4AF1-9879-C6F134E718B0}"/>
    <cellStyle name="Normal 5 2 3 2 2 2 5 2 3" xfId="12811" xr:uid="{0B5FF7E3-33FA-42B8-B30D-96C7D85D4D0B}"/>
    <cellStyle name="Normal 5 2 3 2 2 2 5 3" xfId="6455" xr:uid="{00000000-0005-0000-0000-000045180000}"/>
    <cellStyle name="Normal 5 2 3 2 2 2 5 3 2" xfId="14884" xr:uid="{3031E5BA-CF33-4C17-B9DC-EBD983EFF368}"/>
    <cellStyle name="Normal 5 2 3 2 2 2 5 4" xfId="10666" xr:uid="{D84AD24B-EC95-424D-BA47-B5A43C8BD9FD}"/>
    <cellStyle name="Normal 5 2 3 2 2 2 6" xfId="2583" xr:uid="{00000000-0005-0000-0000-000046180000}"/>
    <cellStyle name="Normal 5 2 3 2 2 2 6 2" xfId="6868" xr:uid="{00000000-0005-0000-0000-000047180000}"/>
    <cellStyle name="Normal 5 2 3 2 2 2 6 2 2" xfId="15297" xr:uid="{49138717-F8AE-4972-B1D0-DC5F447F66CA}"/>
    <cellStyle name="Normal 5 2 3 2 2 2 6 3" xfId="11079" xr:uid="{92413C68-52C1-42F1-B717-FBAC52AC43C0}"/>
    <cellStyle name="Normal 5 2 3 2 2 2 7" xfId="4803" xr:uid="{00000000-0005-0000-0000-000048180000}"/>
    <cellStyle name="Normal 5 2 3 2 2 2 7 2" xfId="13232" xr:uid="{D847B60B-4ABA-4911-A5D6-17A8D06A7CCB}"/>
    <cellStyle name="Normal 5 2 3 2 2 2 8" xfId="9014" xr:uid="{76D94680-D298-47D6-944B-E6331C7E993B}"/>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2 2" xfId="15789" xr:uid="{B6256F94-AA45-48F1-9F8B-0722F8AF801E}"/>
    <cellStyle name="Normal 5 2 3 2 2 3 2 3" xfId="11571" xr:uid="{9B30601F-6581-429C-9FD8-23C836A2614E}"/>
    <cellStyle name="Normal 5 2 3 2 2 3 3" xfId="5215" xr:uid="{00000000-0005-0000-0000-00004C180000}"/>
    <cellStyle name="Normal 5 2 3 2 2 3 3 2" xfId="13644" xr:uid="{175FAFBE-6849-44C7-B52A-8720C2869255}"/>
    <cellStyle name="Normal 5 2 3 2 2 3 4" xfId="9426" xr:uid="{CE9C1294-3B89-4352-ADBE-256D8CCEF234}"/>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2 2" xfId="16202" xr:uid="{F28FF4EB-7B77-4FBA-9056-602D64A49EC9}"/>
    <cellStyle name="Normal 5 2 3 2 2 4 2 3" xfId="11984" xr:uid="{5FDEFCCA-2761-4EA5-8A75-68F1B78B8850}"/>
    <cellStyle name="Normal 5 2 3 2 2 4 3" xfId="5628" xr:uid="{00000000-0005-0000-0000-000050180000}"/>
    <cellStyle name="Normal 5 2 3 2 2 4 3 2" xfId="14057" xr:uid="{CBB78A87-627C-47F1-9EFF-28B952AD380B}"/>
    <cellStyle name="Normal 5 2 3 2 2 4 4" xfId="9839" xr:uid="{E99351AF-9BA5-4F29-8CC7-23B8F6657106}"/>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2 2" xfId="16615" xr:uid="{1ECF4BDD-7D45-44F1-94ED-869E7AEE8BCA}"/>
    <cellStyle name="Normal 5 2 3 2 2 5 2 3" xfId="12397" xr:uid="{B3021598-BFFD-42E5-B9CA-524FF992A4E2}"/>
    <cellStyle name="Normal 5 2 3 2 2 5 3" xfId="6041" xr:uid="{00000000-0005-0000-0000-000054180000}"/>
    <cellStyle name="Normal 5 2 3 2 2 5 3 2" xfId="14470" xr:uid="{1A6A776C-B33A-4727-A274-977325B51383}"/>
    <cellStyle name="Normal 5 2 3 2 2 5 4" xfId="10252" xr:uid="{3296D9AF-0E1A-4CB5-99B4-C228BA2E6D43}"/>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2 2" xfId="17028" xr:uid="{EC0C3B25-AE61-4572-BD99-73D605AFEF86}"/>
    <cellStyle name="Normal 5 2 3 2 2 6 2 3" xfId="12810" xr:uid="{C7F78B31-AE74-42C9-93F4-8BB0798379E5}"/>
    <cellStyle name="Normal 5 2 3 2 2 6 3" xfId="6454" xr:uid="{00000000-0005-0000-0000-000058180000}"/>
    <cellStyle name="Normal 5 2 3 2 2 6 3 2" xfId="14883" xr:uid="{4B0E9FD3-9D75-4388-95BE-6512A71E669D}"/>
    <cellStyle name="Normal 5 2 3 2 2 6 4" xfId="10665" xr:uid="{F9764B53-EBE0-48BE-B67F-3E159EB41BCF}"/>
    <cellStyle name="Normal 5 2 3 2 2 7" xfId="2582" xr:uid="{00000000-0005-0000-0000-000059180000}"/>
    <cellStyle name="Normal 5 2 3 2 2 7 2" xfId="6867" xr:uid="{00000000-0005-0000-0000-00005A180000}"/>
    <cellStyle name="Normal 5 2 3 2 2 7 2 2" xfId="15296" xr:uid="{A70F3CE9-00B6-48C0-A9FB-F33FFCEA0BCC}"/>
    <cellStyle name="Normal 5 2 3 2 2 7 3" xfId="11078" xr:uid="{8ECCA5A4-8BD2-4EFB-8B42-DD479CC34981}"/>
    <cellStyle name="Normal 5 2 3 2 2 8" xfId="4802" xr:uid="{00000000-0005-0000-0000-00005B180000}"/>
    <cellStyle name="Normal 5 2 3 2 2 8 2" xfId="13231" xr:uid="{DFA921CA-4719-40F2-A59E-49F158C3D0C5}"/>
    <cellStyle name="Normal 5 2 3 2 2 9" xfId="9013" xr:uid="{0AC9DBC3-7EA7-41C5-95DB-EAF7E64DD5FD}"/>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2 2" xfId="15791" xr:uid="{3CC5AE9B-2DCE-4025-BF7A-C03BCABF3962}"/>
    <cellStyle name="Normal 5 2 3 2 3 2 2 3" xfId="11573" xr:uid="{CBE35F7C-F746-40FC-A886-69E931DB5A6F}"/>
    <cellStyle name="Normal 5 2 3 2 3 2 3" xfId="5217" xr:uid="{00000000-0005-0000-0000-000060180000}"/>
    <cellStyle name="Normal 5 2 3 2 3 2 3 2" xfId="13646" xr:uid="{CFB5891C-CF15-4F0B-A9C9-832E8739919A}"/>
    <cellStyle name="Normal 5 2 3 2 3 2 4" xfId="9428" xr:uid="{C6861DA5-05E3-4A41-B702-809736631BC6}"/>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2 2" xfId="16204" xr:uid="{6F0F4B97-48F1-42EC-85C4-6521C2DD1153}"/>
    <cellStyle name="Normal 5 2 3 2 3 3 2 3" xfId="11986" xr:uid="{CEEE3205-F27E-4708-8A67-2D16045E1FF8}"/>
    <cellStyle name="Normal 5 2 3 2 3 3 3" xfId="5630" xr:uid="{00000000-0005-0000-0000-000064180000}"/>
    <cellStyle name="Normal 5 2 3 2 3 3 3 2" xfId="14059" xr:uid="{43659A1D-8D19-40E5-80A3-3F9CE878DFF0}"/>
    <cellStyle name="Normal 5 2 3 2 3 3 4" xfId="9841" xr:uid="{B6D1481C-98DC-46C6-A36F-94857AA8F3F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2 2" xfId="16617" xr:uid="{8717F2D0-9057-410C-983D-0B5BC89502AC}"/>
    <cellStyle name="Normal 5 2 3 2 3 4 2 3" xfId="12399" xr:uid="{FF6DE8C5-DD5D-44B5-9DD5-4CF0439454F8}"/>
    <cellStyle name="Normal 5 2 3 2 3 4 3" xfId="6043" xr:uid="{00000000-0005-0000-0000-000068180000}"/>
    <cellStyle name="Normal 5 2 3 2 3 4 3 2" xfId="14472" xr:uid="{3E5538FB-33B9-4D98-93C3-D16D38EDB896}"/>
    <cellStyle name="Normal 5 2 3 2 3 4 4" xfId="10254" xr:uid="{07332EFA-9790-4227-996C-84C3F9C29277}"/>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2 2" xfId="17030" xr:uid="{C03071F3-F2DC-44C6-8565-C99BAE1C2C7C}"/>
    <cellStyle name="Normal 5 2 3 2 3 5 2 3" xfId="12812" xr:uid="{1F6B11A5-5E42-4BC1-985C-586F40CDD97B}"/>
    <cellStyle name="Normal 5 2 3 2 3 5 3" xfId="6456" xr:uid="{00000000-0005-0000-0000-00006C180000}"/>
    <cellStyle name="Normal 5 2 3 2 3 5 3 2" xfId="14885" xr:uid="{BE79F60B-6C50-4CD9-89D7-4878E73EA52F}"/>
    <cellStyle name="Normal 5 2 3 2 3 5 4" xfId="10667" xr:uid="{961BE573-6122-400B-8C61-40421BF17D57}"/>
    <cellStyle name="Normal 5 2 3 2 3 6" xfId="2584" xr:uid="{00000000-0005-0000-0000-00006D180000}"/>
    <cellStyle name="Normal 5 2 3 2 3 6 2" xfId="6869" xr:uid="{00000000-0005-0000-0000-00006E180000}"/>
    <cellStyle name="Normal 5 2 3 2 3 6 2 2" xfId="15298" xr:uid="{9B91BE70-C85D-4489-96E4-249505AB1F3D}"/>
    <cellStyle name="Normal 5 2 3 2 3 6 3" xfId="11080" xr:uid="{61690AD6-57DA-45A4-A842-D0653772A9A8}"/>
    <cellStyle name="Normal 5 2 3 2 3 7" xfId="4804" xr:uid="{00000000-0005-0000-0000-00006F180000}"/>
    <cellStyle name="Normal 5 2 3 2 3 7 2" xfId="13233" xr:uid="{03EEA665-0CE8-4390-8491-DEE6EB66DE37}"/>
    <cellStyle name="Normal 5 2 3 2 3 8" xfId="9015" xr:uid="{4E4078F2-AA9D-49FE-96F9-DC831EF66E4C}"/>
    <cellStyle name="Normal 5 2 3 2 4" xfId="900" xr:uid="{00000000-0005-0000-0000-000070180000}"/>
    <cellStyle name="Normal 5 2 3 2 4 2" xfId="3135" xr:uid="{00000000-0005-0000-0000-000071180000}"/>
    <cellStyle name="Normal 5 2 3 2 4 2 2" xfId="7359" xr:uid="{00000000-0005-0000-0000-000072180000}"/>
    <cellStyle name="Normal 5 2 3 2 4 2 2 2" xfId="15788" xr:uid="{C7B09707-A3DA-4A3F-A73F-44B9814C993D}"/>
    <cellStyle name="Normal 5 2 3 2 4 2 3" xfId="11570" xr:uid="{CF69D3C1-A1AC-4CDB-A5D1-46CFDC974129}"/>
    <cellStyle name="Normal 5 2 3 2 4 3" xfId="5214" xr:uid="{00000000-0005-0000-0000-000073180000}"/>
    <cellStyle name="Normal 5 2 3 2 4 3 2" xfId="13643" xr:uid="{ACBD5FB1-CC07-4AF0-80C4-8E99E1D0E778}"/>
    <cellStyle name="Normal 5 2 3 2 4 4" xfId="9425" xr:uid="{7398E904-6AB2-4CC0-A789-EDEC9D579CDF}"/>
    <cellStyle name="Normal 5 2 3 2 5" xfId="1318" xr:uid="{00000000-0005-0000-0000-000074180000}"/>
    <cellStyle name="Normal 5 2 3 2 5 2" xfId="3548" xr:uid="{00000000-0005-0000-0000-000075180000}"/>
    <cellStyle name="Normal 5 2 3 2 5 2 2" xfId="7772" xr:uid="{00000000-0005-0000-0000-000076180000}"/>
    <cellStyle name="Normal 5 2 3 2 5 2 2 2" xfId="16201" xr:uid="{81A2FFF8-1CF3-4596-8491-B8D27984BF67}"/>
    <cellStyle name="Normal 5 2 3 2 5 2 3" xfId="11983" xr:uid="{D7B2DB53-7702-4B03-A560-2BC8D576AC00}"/>
    <cellStyle name="Normal 5 2 3 2 5 3" xfId="5627" xr:uid="{00000000-0005-0000-0000-000077180000}"/>
    <cellStyle name="Normal 5 2 3 2 5 3 2" xfId="14056" xr:uid="{B8AF4957-3582-4D17-961B-04B69CE11AC5}"/>
    <cellStyle name="Normal 5 2 3 2 5 4" xfId="9838" xr:uid="{AF114B92-DC6C-491A-A06D-5FF15614DAB5}"/>
    <cellStyle name="Normal 5 2 3 2 6" xfId="1731" xr:uid="{00000000-0005-0000-0000-000078180000}"/>
    <cellStyle name="Normal 5 2 3 2 6 2" xfId="3961" xr:uid="{00000000-0005-0000-0000-000079180000}"/>
    <cellStyle name="Normal 5 2 3 2 6 2 2" xfId="8185" xr:uid="{00000000-0005-0000-0000-00007A180000}"/>
    <cellStyle name="Normal 5 2 3 2 6 2 2 2" xfId="16614" xr:uid="{AB652137-13CB-438C-BDA7-334CDC306171}"/>
    <cellStyle name="Normal 5 2 3 2 6 2 3" xfId="12396" xr:uid="{0B2734A9-05B6-49B8-96BF-5CD8C147E820}"/>
    <cellStyle name="Normal 5 2 3 2 6 3" xfId="6040" xr:uid="{00000000-0005-0000-0000-00007B180000}"/>
    <cellStyle name="Normal 5 2 3 2 6 3 2" xfId="14469" xr:uid="{D10F7C79-8B4E-4914-AFC2-BAAADA122187}"/>
    <cellStyle name="Normal 5 2 3 2 6 4" xfId="10251" xr:uid="{62714066-CE1F-458F-9EDF-8FF647039721}"/>
    <cellStyle name="Normal 5 2 3 2 7" xfId="2145" xr:uid="{00000000-0005-0000-0000-00007C180000}"/>
    <cellStyle name="Normal 5 2 3 2 7 2" xfId="4374" xr:uid="{00000000-0005-0000-0000-00007D180000}"/>
    <cellStyle name="Normal 5 2 3 2 7 2 2" xfId="8598" xr:uid="{00000000-0005-0000-0000-00007E180000}"/>
    <cellStyle name="Normal 5 2 3 2 7 2 2 2" xfId="17027" xr:uid="{79C020A5-64D7-40EC-B8ED-901963FF45DA}"/>
    <cellStyle name="Normal 5 2 3 2 7 2 3" xfId="12809" xr:uid="{DDB248B7-1A15-4930-81EB-36D87CE9473E}"/>
    <cellStyle name="Normal 5 2 3 2 7 3" xfId="6453" xr:uid="{00000000-0005-0000-0000-00007F180000}"/>
    <cellStyle name="Normal 5 2 3 2 7 3 2" xfId="14882" xr:uid="{D4512FC9-3C5E-4A12-9895-14B361AA11A1}"/>
    <cellStyle name="Normal 5 2 3 2 7 4" xfId="10664" xr:uid="{BD02A790-7A4D-4BC5-9969-E6F701B0838F}"/>
    <cellStyle name="Normal 5 2 3 2 8" xfId="2581" xr:uid="{00000000-0005-0000-0000-000080180000}"/>
    <cellStyle name="Normal 5 2 3 2 8 2" xfId="6866" xr:uid="{00000000-0005-0000-0000-000081180000}"/>
    <cellStyle name="Normal 5 2 3 2 8 2 2" xfId="15295" xr:uid="{0DD776DC-BD9B-45B0-B9CF-DB4EAD71E784}"/>
    <cellStyle name="Normal 5 2 3 2 8 3" xfId="11077" xr:uid="{0FCAD33A-461E-4AFC-98AA-18D2F0226A09}"/>
    <cellStyle name="Normal 5 2 3 2 9" xfId="4801" xr:uid="{00000000-0005-0000-0000-000082180000}"/>
    <cellStyle name="Normal 5 2 3 2 9 2" xfId="13230" xr:uid="{A025139E-73E4-4679-B5C8-6F492E9443D5}"/>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2 2" xfId="15793" xr:uid="{6189795C-38C5-4277-815C-7102C22F92B0}"/>
    <cellStyle name="Normal 5 2 3 3 2 2 2 3" xfId="11575" xr:uid="{225A8C7D-E3DC-4DA4-B342-04EC9A080D1B}"/>
    <cellStyle name="Normal 5 2 3 3 2 2 3" xfId="5219" xr:uid="{00000000-0005-0000-0000-000088180000}"/>
    <cellStyle name="Normal 5 2 3 3 2 2 3 2" xfId="13648" xr:uid="{17C31489-1204-498C-BB8D-80861128CA0E}"/>
    <cellStyle name="Normal 5 2 3 3 2 2 4" xfId="9430" xr:uid="{E0BC271B-62A3-4526-860A-4840334D3E6F}"/>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2 2" xfId="16206" xr:uid="{888AD06A-E5F8-4028-8BFB-7FD01A0EDEEF}"/>
    <cellStyle name="Normal 5 2 3 3 2 3 2 3" xfId="11988" xr:uid="{5B8EDAD3-D08A-4021-A85D-66222CC85ED8}"/>
    <cellStyle name="Normal 5 2 3 3 2 3 3" xfId="5632" xr:uid="{00000000-0005-0000-0000-00008C180000}"/>
    <cellStyle name="Normal 5 2 3 3 2 3 3 2" xfId="14061" xr:uid="{5BBC15FD-F2E8-4037-9324-8578E58F1ADE}"/>
    <cellStyle name="Normal 5 2 3 3 2 3 4" xfId="9843" xr:uid="{50145BCC-5BA8-486E-9318-4034C2F85E1C}"/>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2 2" xfId="16619" xr:uid="{58BC1EEC-3E02-4981-8788-16BD71A4AAB3}"/>
    <cellStyle name="Normal 5 2 3 3 2 4 2 3" xfId="12401" xr:uid="{ABFB5457-30F8-484B-9742-3FB8E93150BD}"/>
    <cellStyle name="Normal 5 2 3 3 2 4 3" xfId="6045" xr:uid="{00000000-0005-0000-0000-000090180000}"/>
    <cellStyle name="Normal 5 2 3 3 2 4 3 2" xfId="14474" xr:uid="{6383B9F5-2F9A-45F5-BE13-30DE63480757}"/>
    <cellStyle name="Normal 5 2 3 3 2 4 4" xfId="10256" xr:uid="{E19B304A-3034-4775-BCFF-FFD45EFDA6E6}"/>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2 2" xfId="17032" xr:uid="{73F3869E-10C8-4C37-B323-B8EB94DE3CB5}"/>
    <cellStyle name="Normal 5 2 3 3 2 5 2 3" xfId="12814" xr:uid="{4174160A-A3C5-4FD5-BC16-B2E054C6FB24}"/>
    <cellStyle name="Normal 5 2 3 3 2 5 3" xfId="6458" xr:uid="{00000000-0005-0000-0000-000094180000}"/>
    <cellStyle name="Normal 5 2 3 3 2 5 3 2" xfId="14887" xr:uid="{7AEAD479-F99F-442F-B297-C6221EBB7108}"/>
    <cellStyle name="Normal 5 2 3 3 2 5 4" xfId="10669" xr:uid="{FA09C3BD-4802-4957-80C1-D602ACC3FA30}"/>
    <cellStyle name="Normal 5 2 3 3 2 6" xfId="2586" xr:uid="{00000000-0005-0000-0000-000095180000}"/>
    <cellStyle name="Normal 5 2 3 3 2 6 2" xfId="6871" xr:uid="{00000000-0005-0000-0000-000096180000}"/>
    <cellStyle name="Normal 5 2 3 3 2 6 2 2" xfId="15300" xr:uid="{204CB336-7E4E-4A66-B660-E56057D6AED8}"/>
    <cellStyle name="Normal 5 2 3 3 2 6 3" xfId="11082" xr:uid="{85D5856C-E517-41F2-B3AE-AA6031BA257D}"/>
    <cellStyle name="Normal 5 2 3 3 2 7" xfId="4806" xr:uid="{00000000-0005-0000-0000-000097180000}"/>
    <cellStyle name="Normal 5 2 3 3 2 7 2" xfId="13235" xr:uid="{1934E0DA-DB46-410C-ABFF-4963F10BAE78}"/>
    <cellStyle name="Normal 5 2 3 3 2 8" xfId="9017" xr:uid="{EE269A1B-D7E6-4A67-8C04-03234111AFE5}"/>
    <cellStyle name="Normal 5 2 3 3 3" xfId="904" xr:uid="{00000000-0005-0000-0000-000098180000}"/>
    <cellStyle name="Normal 5 2 3 3 3 2" xfId="3139" xr:uid="{00000000-0005-0000-0000-000099180000}"/>
    <cellStyle name="Normal 5 2 3 3 3 2 2" xfId="7363" xr:uid="{00000000-0005-0000-0000-00009A180000}"/>
    <cellStyle name="Normal 5 2 3 3 3 2 2 2" xfId="15792" xr:uid="{9C7FAD89-6628-45CC-80C9-D99B1D3F757D}"/>
    <cellStyle name="Normal 5 2 3 3 3 2 3" xfId="11574" xr:uid="{AB9F614D-7694-4C61-894B-EA20F5704799}"/>
    <cellStyle name="Normal 5 2 3 3 3 3" xfId="5218" xr:uid="{00000000-0005-0000-0000-00009B180000}"/>
    <cellStyle name="Normal 5 2 3 3 3 3 2" xfId="13647" xr:uid="{82AF97A0-3539-4D37-BB4E-B7983DE2B452}"/>
    <cellStyle name="Normal 5 2 3 3 3 4" xfId="9429" xr:uid="{7225BACC-4585-42BB-BF42-EECC8C671094}"/>
    <cellStyle name="Normal 5 2 3 3 4" xfId="1322" xr:uid="{00000000-0005-0000-0000-00009C180000}"/>
    <cellStyle name="Normal 5 2 3 3 4 2" xfId="3552" xr:uid="{00000000-0005-0000-0000-00009D180000}"/>
    <cellStyle name="Normal 5 2 3 3 4 2 2" xfId="7776" xr:uid="{00000000-0005-0000-0000-00009E180000}"/>
    <cellStyle name="Normal 5 2 3 3 4 2 2 2" xfId="16205" xr:uid="{3C61A24C-3F5B-4F62-9DE1-E44A55317D05}"/>
    <cellStyle name="Normal 5 2 3 3 4 2 3" xfId="11987" xr:uid="{85828D16-D619-462D-AB89-C66253792CDA}"/>
    <cellStyle name="Normal 5 2 3 3 4 3" xfId="5631" xr:uid="{00000000-0005-0000-0000-00009F180000}"/>
    <cellStyle name="Normal 5 2 3 3 4 3 2" xfId="14060" xr:uid="{7BF14A9D-89A9-4C22-8398-32F3CB6F0E8A}"/>
    <cellStyle name="Normal 5 2 3 3 4 4" xfId="9842" xr:uid="{806464BA-871A-4DC5-9BA2-DB149DF7C888}"/>
    <cellStyle name="Normal 5 2 3 3 5" xfId="1735" xr:uid="{00000000-0005-0000-0000-0000A0180000}"/>
    <cellStyle name="Normal 5 2 3 3 5 2" xfId="3965" xr:uid="{00000000-0005-0000-0000-0000A1180000}"/>
    <cellStyle name="Normal 5 2 3 3 5 2 2" xfId="8189" xr:uid="{00000000-0005-0000-0000-0000A2180000}"/>
    <cellStyle name="Normal 5 2 3 3 5 2 2 2" xfId="16618" xr:uid="{1E59D9FA-5F61-4C63-8AD5-258633AD5C12}"/>
    <cellStyle name="Normal 5 2 3 3 5 2 3" xfId="12400" xr:uid="{8B73D57C-7276-4F87-8A28-8500D9E441D8}"/>
    <cellStyle name="Normal 5 2 3 3 5 3" xfId="6044" xr:uid="{00000000-0005-0000-0000-0000A3180000}"/>
    <cellStyle name="Normal 5 2 3 3 5 3 2" xfId="14473" xr:uid="{68390409-FD49-465E-9A67-AE329C1BD50D}"/>
    <cellStyle name="Normal 5 2 3 3 5 4" xfId="10255" xr:uid="{9412134A-B647-4152-BDC9-27CC2FCDB16A}"/>
    <cellStyle name="Normal 5 2 3 3 6" xfId="2149" xr:uid="{00000000-0005-0000-0000-0000A4180000}"/>
    <cellStyle name="Normal 5 2 3 3 6 2" xfId="4378" xr:uid="{00000000-0005-0000-0000-0000A5180000}"/>
    <cellStyle name="Normal 5 2 3 3 6 2 2" xfId="8602" xr:uid="{00000000-0005-0000-0000-0000A6180000}"/>
    <cellStyle name="Normal 5 2 3 3 6 2 2 2" xfId="17031" xr:uid="{77E2827C-5378-4F50-AAD4-D27EE8E10515}"/>
    <cellStyle name="Normal 5 2 3 3 6 2 3" xfId="12813" xr:uid="{75A34F94-E93B-4BB6-9FB6-CCCFD45A8913}"/>
    <cellStyle name="Normal 5 2 3 3 6 3" xfId="6457" xr:uid="{00000000-0005-0000-0000-0000A7180000}"/>
    <cellStyle name="Normal 5 2 3 3 6 3 2" xfId="14886" xr:uid="{D599F29F-6573-4258-83D0-553F5B92F1DD}"/>
    <cellStyle name="Normal 5 2 3 3 6 4" xfId="10668" xr:uid="{3252026D-49F0-42AD-B588-5B216B6304C8}"/>
    <cellStyle name="Normal 5 2 3 3 7" xfId="2585" xr:uid="{00000000-0005-0000-0000-0000A8180000}"/>
    <cellStyle name="Normal 5 2 3 3 7 2" xfId="6870" xr:uid="{00000000-0005-0000-0000-0000A9180000}"/>
    <cellStyle name="Normal 5 2 3 3 7 2 2" xfId="15299" xr:uid="{CF616266-952B-4FA6-BDC5-F3A1CF5B61F2}"/>
    <cellStyle name="Normal 5 2 3 3 7 3" xfId="11081" xr:uid="{93777174-EE22-4582-B024-842E29A95509}"/>
    <cellStyle name="Normal 5 2 3 3 8" xfId="4805" xr:uid="{00000000-0005-0000-0000-0000AA180000}"/>
    <cellStyle name="Normal 5 2 3 3 8 2" xfId="13234" xr:uid="{CE1EE5E3-5F5C-4B24-AE45-57EB82717BE8}"/>
    <cellStyle name="Normal 5 2 3 3 9" xfId="9016" xr:uid="{F24BAFE4-3529-4639-A431-E4C0DDD74C33}"/>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2 2" xfId="15794" xr:uid="{B1192D75-61C0-48CC-ABCF-7B535CC83D28}"/>
    <cellStyle name="Normal 5 2 3 4 2 2 3" xfId="11576" xr:uid="{2FDB6844-CBB1-415F-AAEB-EE16F80C447F}"/>
    <cellStyle name="Normal 5 2 3 4 2 3" xfId="5220" xr:uid="{00000000-0005-0000-0000-0000AF180000}"/>
    <cellStyle name="Normal 5 2 3 4 2 3 2" xfId="13649" xr:uid="{CEC51076-69F4-45D9-B102-7B3E141766F8}"/>
    <cellStyle name="Normal 5 2 3 4 2 4" xfId="9431" xr:uid="{5E6C0D32-8384-4BC3-8166-1E7319876E65}"/>
    <cellStyle name="Normal 5 2 3 4 3" xfId="1324" xr:uid="{00000000-0005-0000-0000-0000B0180000}"/>
    <cellStyle name="Normal 5 2 3 4 3 2" xfId="3554" xr:uid="{00000000-0005-0000-0000-0000B1180000}"/>
    <cellStyle name="Normal 5 2 3 4 3 2 2" xfId="7778" xr:uid="{00000000-0005-0000-0000-0000B2180000}"/>
    <cellStyle name="Normal 5 2 3 4 3 2 2 2" xfId="16207" xr:uid="{8187B127-CEB2-44E7-A0D5-B8AB9FE30E1F}"/>
    <cellStyle name="Normal 5 2 3 4 3 2 3" xfId="11989" xr:uid="{2DA84815-938A-4F5A-9020-50EB645732E2}"/>
    <cellStyle name="Normal 5 2 3 4 3 3" xfId="5633" xr:uid="{00000000-0005-0000-0000-0000B3180000}"/>
    <cellStyle name="Normal 5 2 3 4 3 3 2" xfId="14062" xr:uid="{C1C9C399-91E6-4D41-8BB2-F7CCC31B51CB}"/>
    <cellStyle name="Normal 5 2 3 4 3 4" xfId="9844" xr:uid="{04B58EFE-4AD5-46DF-B9AC-B59C79A45400}"/>
    <cellStyle name="Normal 5 2 3 4 4" xfId="1737" xr:uid="{00000000-0005-0000-0000-0000B4180000}"/>
    <cellStyle name="Normal 5 2 3 4 4 2" xfId="3967" xr:uid="{00000000-0005-0000-0000-0000B5180000}"/>
    <cellStyle name="Normal 5 2 3 4 4 2 2" xfId="8191" xr:uid="{00000000-0005-0000-0000-0000B6180000}"/>
    <cellStyle name="Normal 5 2 3 4 4 2 2 2" xfId="16620" xr:uid="{660E14BF-0C01-4180-8CB1-3DCA982E218F}"/>
    <cellStyle name="Normal 5 2 3 4 4 2 3" xfId="12402" xr:uid="{2C0DDF93-E523-4D16-8B07-E1EB4BF2C564}"/>
    <cellStyle name="Normal 5 2 3 4 4 3" xfId="6046" xr:uid="{00000000-0005-0000-0000-0000B7180000}"/>
    <cellStyle name="Normal 5 2 3 4 4 3 2" xfId="14475" xr:uid="{ABCA0092-6531-4191-8CED-FD0356AC386D}"/>
    <cellStyle name="Normal 5 2 3 4 4 4" xfId="10257" xr:uid="{FFD69ED8-19AE-447A-AF80-D83F33223EAD}"/>
    <cellStyle name="Normal 5 2 3 4 5" xfId="2151" xr:uid="{00000000-0005-0000-0000-0000B8180000}"/>
    <cellStyle name="Normal 5 2 3 4 5 2" xfId="4380" xr:uid="{00000000-0005-0000-0000-0000B9180000}"/>
    <cellStyle name="Normal 5 2 3 4 5 2 2" xfId="8604" xr:uid="{00000000-0005-0000-0000-0000BA180000}"/>
    <cellStyle name="Normal 5 2 3 4 5 2 2 2" xfId="17033" xr:uid="{A70F7F7C-97F1-4531-ADD1-CA9C18567EA3}"/>
    <cellStyle name="Normal 5 2 3 4 5 2 3" xfId="12815" xr:uid="{8397DF24-D14D-4542-B1D3-8481CA5277ED}"/>
    <cellStyle name="Normal 5 2 3 4 5 3" xfId="6459" xr:uid="{00000000-0005-0000-0000-0000BB180000}"/>
    <cellStyle name="Normal 5 2 3 4 5 3 2" xfId="14888" xr:uid="{C9844ADF-B9DF-4B65-B0D1-14AF1DA4384E}"/>
    <cellStyle name="Normal 5 2 3 4 5 4" xfId="10670" xr:uid="{AA4B18CB-5101-4EFC-865D-C57B549F6C37}"/>
    <cellStyle name="Normal 5 2 3 4 6" xfId="2587" xr:uid="{00000000-0005-0000-0000-0000BC180000}"/>
    <cellStyle name="Normal 5 2 3 4 6 2" xfId="6872" xr:uid="{00000000-0005-0000-0000-0000BD180000}"/>
    <cellStyle name="Normal 5 2 3 4 6 2 2" xfId="15301" xr:uid="{5F6EF590-5DE4-4759-843B-5FF0371AF966}"/>
    <cellStyle name="Normal 5 2 3 4 6 3" xfId="11083" xr:uid="{7A3A1C26-FB3D-4030-8974-A867432E1D93}"/>
    <cellStyle name="Normal 5 2 3 4 7" xfId="4807" xr:uid="{00000000-0005-0000-0000-0000BE180000}"/>
    <cellStyle name="Normal 5 2 3 4 7 2" xfId="13236" xr:uid="{1470D74A-F125-479C-9AC2-4239E209664B}"/>
    <cellStyle name="Normal 5 2 3 4 8" xfId="9018" xr:uid="{C3DE745E-E959-460A-8D9E-2090888CE4A7}"/>
    <cellStyle name="Normal 5 2 3 5" xfId="899" xr:uid="{00000000-0005-0000-0000-0000BF180000}"/>
    <cellStyle name="Normal 5 2 3 5 2" xfId="3134" xr:uid="{00000000-0005-0000-0000-0000C0180000}"/>
    <cellStyle name="Normal 5 2 3 5 2 2" xfId="7358" xr:uid="{00000000-0005-0000-0000-0000C1180000}"/>
    <cellStyle name="Normal 5 2 3 5 2 2 2" xfId="15787" xr:uid="{0CC007AF-5078-4FD4-B32E-622235CADCFE}"/>
    <cellStyle name="Normal 5 2 3 5 2 3" xfId="11569" xr:uid="{1AAEA6D8-ED38-4488-BE14-6F161BE58885}"/>
    <cellStyle name="Normal 5 2 3 5 3" xfId="5213" xr:uid="{00000000-0005-0000-0000-0000C2180000}"/>
    <cellStyle name="Normal 5 2 3 5 3 2" xfId="13642" xr:uid="{10411312-3A7A-455E-A90E-18D1289A15CA}"/>
    <cellStyle name="Normal 5 2 3 5 4" xfId="9424" xr:uid="{FABF8B92-7B77-48F5-8A0D-7363254D74A2}"/>
    <cellStyle name="Normal 5 2 3 6" xfId="1317" xr:uid="{00000000-0005-0000-0000-0000C3180000}"/>
    <cellStyle name="Normal 5 2 3 6 2" xfId="3547" xr:uid="{00000000-0005-0000-0000-0000C4180000}"/>
    <cellStyle name="Normal 5 2 3 6 2 2" xfId="7771" xr:uid="{00000000-0005-0000-0000-0000C5180000}"/>
    <cellStyle name="Normal 5 2 3 6 2 2 2" xfId="16200" xr:uid="{CC60DD4C-E795-4F4A-AF9A-391A919AF935}"/>
    <cellStyle name="Normal 5 2 3 6 2 3" xfId="11982" xr:uid="{15F54616-1EE2-4049-8846-FF211FB1BF62}"/>
    <cellStyle name="Normal 5 2 3 6 3" xfId="5626" xr:uid="{00000000-0005-0000-0000-0000C6180000}"/>
    <cellStyle name="Normal 5 2 3 6 3 2" xfId="14055" xr:uid="{C5C413CE-5EFC-4F27-BF50-8A9D6F094C1E}"/>
    <cellStyle name="Normal 5 2 3 6 4" xfId="9837" xr:uid="{D501DFAE-944D-4FEF-9BD8-70BC263276E8}"/>
    <cellStyle name="Normal 5 2 3 7" xfId="1730" xr:uid="{00000000-0005-0000-0000-0000C7180000}"/>
    <cellStyle name="Normal 5 2 3 7 2" xfId="3960" xr:uid="{00000000-0005-0000-0000-0000C8180000}"/>
    <cellStyle name="Normal 5 2 3 7 2 2" xfId="8184" xr:uid="{00000000-0005-0000-0000-0000C9180000}"/>
    <cellStyle name="Normal 5 2 3 7 2 2 2" xfId="16613" xr:uid="{DF087E54-35A4-46DD-A1CD-BA7116C1AA7C}"/>
    <cellStyle name="Normal 5 2 3 7 2 3" xfId="12395" xr:uid="{5FD8F7F7-4C8E-4308-AEC9-17CB42EBFBC3}"/>
    <cellStyle name="Normal 5 2 3 7 3" xfId="6039" xr:uid="{00000000-0005-0000-0000-0000CA180000}"/>
    <cellStyle name="Normal 5 2 3 7 3 2" xfId="14468" xr:uid="{D18EA22E-80AA-494E-8318-230C908C13EE}"/>
    <cellStyle name="Normal 5 2 3 7 4" xfId="10250" xr:uid="{CF62B606-E5A2-49C6-9391-F7EABB348E17}"/>
    <cellStyle name="Normal 5 2 3 8" xfId="2144" xr:uid="{00000000-0005-0000-0000-0000CB180000}"/>
    <cellStyle name="Normal 5 2 3 8 2" xfId="4373" xr:uid="{00000000-0005-0000-0000-0000CC180000}"/>
    <cellStyle name="Normal 5 2 3 8 2 2" xfId="8597" xr:uid="{00000000-0005-0000-0000-0000CD180000}"/>
    <cellStyle name="Normal 5 2 3 8 2 2 2" xfId="17026" xr:uid="{6D40BB77-E8B1-4B72-92D3-16DE582CF765}"/>
    <cellStyle name="Normal 5 2 3 8 2 3" xfId="12808" xr:uid="{4FB5FA7B-F56D-4FCD-858B-A5CBEF422CDA}"/>
    <cellStyle name="Normal 5 2 3 8 3" xfId="6452" xr:uid="{00000000-0005-0000-0000-0000CE180000}"/>
    <cellStyle name="Normal 5 2 3 8 3 2" xfId="14881" xr:uid="{58B1C558-548D-47AA-B6F9-6E201F3412DD}"/>
    <cellStyle name="Normal 5 2 3 8 4" xfId="10663" xr:uid="{F9685775-BE53-4ACC-9881-711F4C56D438}"/>
    <cellStyle name="Normal 5 2 3 9" xfId="2580" xr:uid="{00000000-0005-0000-0000-0000CF180000}"/>
    <cellStyle name="Normal 5 2 3 9 2" xfId="6865" xr:uid="{00000000-0005-0000-0000-0000D0180000}"/>
    <cellStyle name="Normal 5 2 3 9 2 2" xfId="15294" xr:uid="{E1F73FF1-2EA9-4F13-BDBF-308C4FB69F26}"/>
    <cellStyle name="Normal 5 2 3 9 3" xfId="11076" xr:uid="{936E923A-9B44-41F5-B555-37BE52289E5F}"/>
    <cellStyle name="Normal 5 2 4" xfId="432" xr:uid="{00000000-0005-0000-0000-0000D1180000}"/>
    <cellStyle name="Normal 5 2 4 10" xfId="9019" xr:uid="{C234EE44-AE71-4B1D-9AD9-E67EA07D275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2 2" xfId="15797" xr:uid="{0D90747A-BC9D-4D89-B958-E23A6A411A57}"/>
    <cellStyle name="Normal 5 2 4 2 2 2 2 3" xfId="11579" xr:uid="{166EA917-A271-49F3-89F5-8E30C5FEAE08}"/>
    <cellStyle name="Normal 5 2 4 2 2 2 3" xfId="5223" xr:uid="{00000000-0005-0000-0000-0000D7180000}"/>
    <cellStyle name="Normal 5 2 4 2 2 2 3 2" xfId="13652" xr:uid="{98263835-11CA-4A67-90F5-C6749EFD274F}"/>
    <cellStyle name="Normal 5 2 4 2 2 2 4" xfId="9434" xr:uid="{8990B467-A227-4EFD-BC18-0D3C2A871F52}"/>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2 2" xfId="16210" xr:uid="{03BD1241-92A6-424B-B124-E1700B3D38E4}"/>
    <cellStyle name="Normal 5 2 4 2 2 3 2 3" xfId="11992" xr:uid="{ABF0E7AE-C897-4427-88AA-219B5455F52E}"/>
    <cellStyle name="Normal 5 2 4 2 2 3 3" xfId="5636" xr:uid="{00000000-0005-0000-0000-0000DB180000}"/>
    <cellStyle name="Normal 5 2 4 2 2 3 3 2" xfId="14065" xr:uid="{A2167B66-89FC-4860-A459-CA5676EAD452}"/>
    <cellStyle name="Normal 5 2 4 2 2 3 4" xfId="9847" xr:uid="{676B7839-4FBC-4D1C-B29B-23363F36E678}"/>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2 2" xfId="16623" xr:uid="{CC2AEE47-AA1B-4355-A778-4A3275E7AF4B}"/>
    <cellStyle name="Normal 5 2 4 2 2 4 2 3" xfId="12405" xr:uid="{3CE8B771-0CA4-48DD-AE1A-129853C7AF4D}"/>
    <cellStyle name="Normal 5 2 4 2 2 4 3" xfId="6049" xr:uid="{00000000-0005-0000-0000-0000DF180000}"/>
    <cellStyle name="Normal 5 2 4 2 2 4 3 2" xfId="14478" xr:uid="{67F9439A-B047-4F2F-AB53-B8226CBCF136}"/>
    <cellStyle name="Normal 5 2 4 2 2 4 4" xfId="10260" xr:uid="{A909ADD4-9047-42BE-8792-128F9A286288}"/>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2 2" xfId="17036" xr:uid="{AABF1EF4-25AC-4AF5-A9D4-EB615AB7C569}"/>
    <cellStyle name="Normal 5 2 4 2 2 5 2 3" xfId="12818" xr:uid="{624780A1-03F1-461E-B5B3-6894F260F117}"/>
    <cellStyle name="Normal 5 2 4 2 2 5 3" xfId="6462" xr:uid="{00000000-0005-0000-0000-0000E3180000}"/>
    <cellStyle name="Normal 5 2 4 2 2 5 3 2" xfId="14891" xr:uid="{03BC5D0A-6C90-4E2C-B4B3-E22785267A62}"/>
    <cellStyle name="Normal 5 2 4 2 2 5 4" xfId="10673" xr:uid="{4EB30B4B-E191-46E3-A579-28CC816917BD}"/>
    <cellStyle name="Normal 5 2 4 2 2 6" xfId="2590" xr:uid="{00000000-0005-0000-0000-0000E4180000}"/>
    <cellStyle name="Normal 5 2 4 2 2 6 2" xfId="6875" xr:uid="{00000000-0005-0000-0000-0000E5180000}"/>
    <cellStyle name="Normal 5 2 4 2 2 6 2 2" xfId="15304" xr:uid="{7975FFBC-8AC6-4268-9359-3136B0A8C8F9}"/>
    <cellStyle name="Normal 5 2 4 2 2 6 3" xfId="11086" xr:uid="{2744BC19-8557-4267-A285-4E2216DC13C1}"/>
    <cellStyle name="Normal 5 2 4 2 2 7" xfId="4810" xr:uid="{00000000-0005-0000-0000-0000E6180000}"/>
    <cellStyle name="Normal 5 2 4 2 2 7 2" xfId="13239" xr:uid="{73430E2B-D0B2-4A03-BF4B-9DA5C22B1A16}"/>
    <cellStyle name="Normal 5 2 4 2 2 8" xfId="9021" xr:uid="{EB1B96B6-E6ED-408F-B4CF-4BA41BD1E273}"/>
    <cellStyle name="Normal 5 2 4 2 3" xfId="908" xr:uid="{00000000-0005-0000-0000-0000E7180000}"/>
    <cellStyle name="Normal 5 2 4 2 3 2" xfId="3143" xr:uid="{00000000-0005-0000-0000-0000E8180000}"/>
    <cellStyle name="Normal 5 2 4 2 3 2 2" xfId="7367" xr:uid="{00000000-0005-0000-0000-0000E9180000}"/>
    <cellStyle name="Normal 5 2 4 2 3 2 2 2" xfId="15796" xr:uid="{81C2E004-F015-421A-9FB8-949C9B96D153}"/>
    <cellStyle name="Normal 5 2 4 2 3 2 3" xfId="11578" xr:uid="{CCC4C119-0468-4E93-A80D-A27C97CFD1F9}"/>
    <cellStyle name="Normal 5 2 4 2 3 3" xfId="5222" xr:uid="{00000000-0005-0000-0000-0000EA180000}"/>
    <cellStyle name="Normal 5 2 4 2 3 3 2" xfId="13651" xr:uid="{4D9F0AC1-4FD1-4DBB-A1EE-67E55E82AFCE}"/>
    <cellStyle name="Normal 5 2 4 2 3 4" xfId="9433" xr:uid="{E54E51FF-788D-498C-BF5F-5C4CDEA5D04A}"/>
    <cellStyle name="Normal 5 2 4 2 4" xfId="1326" xr:uid="{00000000-0005-0000-0000-0000EB180000}"/>
    <cellStyle name="Normal 5 2 4 2 4 2" xfId="3556" xr:uid="{00000000-0005-0000-0000-0000EC180000}"/>
    <cellStyle name="Normal 5 2 4 2 4 2 2" xfId="7780" xr:uid="{00000000-0005-0000-0000-0000ED180000}"/>
    <cellStyle name="Normal 5 2 4 2 4 2 2 2" xfId="16209" xr:uid="{76197084-A45A-4D37-B7B2-83DF2221586B}"/>
    <cellStyle name="Normal 5 2 4 2 4 2 3" xfId="11991" xr:uid="{A2494641-723F-45D1-A28F-2567590722AD}"/>
    <cellStyle name="Normal 5 2 4 2 4 3" xfId="5635" xr:uid="{00000000-0005-0000-0000-0000EE180000}"/>
    <cellStyle name="Normal 5 2 4 2 4 3 2" xfId="14064" xr:uid="{89DB8E2F-2C08-4D1F-A029-DA4EBE7A4D26}"/>
    <cellStyle name="Normal 5 2 4 2 4 4" xfId="9846" xr:uid="{3DC62D6E-2D6E-4F79-96F6-E64F82C27854}"/>
    <cellStyle name="Normal 5 2 4 2 5" xfId="1739" xr:uid="{00000000-0005-0000-0000-0000EF180000}"/>
    <cellStyle name="Normal 5 2 4 2 5 2" xfId="3969" xr:uid="{00000000-0005-0000-0000-0000F0180000}"/>
    <cellStyle name="Normal 5 2 4 2 5 2 2" xfId="8193" xr:uid="{00000000-0005-0000-0000-0000F1180000}"/>
    <cellStyle name="Normal 5 2 4 2 5 2 2 2" xfId="16622" xr:uid="{824EAE17-7702-4E17-87D4-6ADB7047F7D9}"/>
    <cellStyle name="Normal 5 2 4 2 5 2 3" xfId="12404" xr:uid="{EF0FCB92-586F-4B25-89F3-282E2D1DF262}"/>
    <cellStyle name="Normal 5 2 4 2 5 3" xfId="6048" xr:uid="{00000000-0005-0000-0000-0000F2180000}"/>
    <cellStyle name="Normal 5 2 4 2 5 3 2" xfId="14477" xr:uid="{DDD70018-3C76-4172-A8CC-7BA3CBE8B353}"/>
    <cellStyle name="Normal 5 2 4 2 5 4" xfId="10259" xr:uid="{D4618BCC-7489-4C82-A3E7-3B76D0DEC098}"/>
    <cellStyle name="Normal 5 2 4 2 6" xfId="2153" xr:uid="{00000000-0005-0000-0000-0000F3180000}"/>
    <cellStyle name="Normal 5 2 4 2 6 2" xfId="4382" xr:uid="{00000000-0005-0000-0000-0000F4180000}"/>
    <cellStyle name="Normal 5 2 4 2 6 2 2" xfId="8606" xr:uid="{00000000-0005-0000-0000-0000F5180000}"/>
    <cellStyle name="Normal 5 2 4 2 6 2 2 2" xfId="17035" xr:uid="{B04B06C6-BC31-4DD9-A830-5B50C11F7CD5}"/>
    <cellStyle name="Normal 5 2 4 2 6 2 3" xfId="12817" xr:uid="{1D99BDBE-5BB2-4DB1-A376-2811DE64FEDE}"/>
    <cellStyle name="Normal 5 2 4 2 6 3" xfId="6461" xr:uid="{00000000-0005-0000-0000-0000F6180000}"/>
    <cellStyle name="Normal 5 2 4 2 6 3 2" xfId="14890" xr:uid="{4C18940B-F36C-4FF9-A4A2-C79683776A4E}"/>
    <cellStyle name="Normal 5 2 4 2 6 4" xfId="10672" xr:uid="{C45A9A2A-2261-44D7-94FF-E2F6901E7EF5}"/>
    <cellStyle name="Normal 5 2 4 2 7" xfId="2589" xr:uid="{00000000-0005-0000-0000-0000F7180000}"/>
    <cellStyle name="Normal 5 2 4 2 7 2" xfId="6874" xr:uid="{00000000-0005-0000-0000-0000F8180000}"/>
    <cellStyle name="Normal 5 2 4 2 7 2 2" xfId="15303" xr:uid="{A9DCEF7F-14A7-4507-A97C-7955F5F2C381}"/>
    <cellStyle name="Normal 5 2 4 2 7 3" xfId="11085" xr:uid="{7E0B91E1-697A-4325-8737-BF3C037D4775}"/>
    <cellStyle name="Normal 5 2 4 2 8" xfId="4809" xr:uid="{00000000-0005-0000-0000-0000F9180000}"/>
    <cellStyle name="Normal 5 2 4 2 8 2" xfId="13238" xr:uid="{D2551C21-C820-497E-B605-CA8F0711F158}"/>
    <cellStyle name="Normal 5 2 4 2 9" xfId="9020" xr:uid="{356E7DD4-F5F9-4D0D-88D8-6B8C41895DF5}"/>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2 2" xfId="15798" xr:uid="{B672D168-253B-46C6-8C6B-F9EE2267DB95}"/>
    <cellStyle name="Normal 5 2 4 3 2 2 3" xfId="11580" xr:uid="{E1BCD8D4-EDA7-40D1-8CAF-F21F109FE8CF}"/>
    <cellStyle name="Normal 5 2 4 3 2 3" xfId="5224" xr:uid="{00000000-0005-0000-0000-0000FE180000}"/>
    <cellStyle name="Normal 5 2 4 3 2 3 2" xfId="13653" xr:uid="{B79A91F3-BD2C-422D-8672-2BBC6E6BE644}"/>
    <cellStyle name="Normal 5 2 4 3 2 4" xfId="9435" xr:uid="{69EFFBF5-4F8C-440B-B15B-170530363BA7}"/>
    <cellStyle name="Normal 5 2 4 3 3" xfId="1328" xr:uid="{00000000-0005-0000-0000-0000FF180000}"/>
    <cellStyle name="Normal 5 2 4 3 3 2" xfId="3558" xr:uid="{00000000-0005-0000-0000-000000190000}"/>
    <cellStyle name="Normal 5 2 4 3 3 2 2" xfId="7782" xr:uid="{00000000-0005-0000-0000-000001190000}"/>
    <cellStyle name="Normal 5 2 4 3 3 2 2 2" xfId="16211" xr:uid="{B4984894-D9B9-477F-B22D-33BA8DD8794A}"/>
    <cellStyle name="Normal 5 2 4 3 3 2 3" xfId="11993" xr:uid="{BB1D6211-B9FD-4AFC-BA4F-EFDBC10CA6BA}"/>
    <cellStyle name="Normal 5 2 4 3 3 3" xfId="5637" xr:uid="{00000000-0005-0000-0000-000002190000}"/>
    <cellStyle name="Normal 5 2 4 3 3 3 2" xfId="14066" xr:uid="{A0AB8AFB-09CC-4226-9D89-C69CAB8D9B0E}"/>
    <cellStyle name="Normal 5 2 4 3 3 4" xfId="9848" xr:uid="{B82E6C15-D231-4A07-9587-B2F730DAC2C1}"/>
    <cellStyle name="Normal 5 2 4 3 4" xfId="1741" xr:uid="{00000000-0005-0000-0000-000003190000}"/>
    <cellStyle name="Normal 5 2 4 3 4 2" xfId="3971" xr:uid="{00000000-0005-0000-0000-000004190000}"/>
    <cellStyle name="Normal 5 2 4 3 4 2 2" xfId="8195" xr:uid="{00000000-0005-0000-0000-000005190000}"/>
    <cellStyle name="Normal 5 2 4 3 4 2 2 2" xfId="16624" xr:uid="{5940866E-7008-4352-ACA6-D1C103D9A4F1}"/>
    <cellStyle name="Normal 5 2 4 3 4 2 3" xfId="12406" xr:uid="{190865AF-5BD2-401D-9044-4D291008CD04}"/>
    <cellStyle name="Normal 5 2 4 3 4 3" xfId="6050" xr:uid="{00000000-0005-0000-0000-000006190000}"/>
    <cellStyle name="Normal 5 2 4 3 4 3 2" xfId="14479" xr:uid="{82DDC756-FCFE-40CC-8CDB-74F3B0F229C9}"/>
    <cellStyle name="Normal 5 2 4 3 4 4" xfId="10261" xr:uid="{AC52D187-48EB-40DF-A5B0-659E506D65B5}"/>
    <cellStyle name="Normal 5 2 4 3 5" xfId="2155" xr:uid="{00000000-0005-0000-0000-000007190000}"/>
    <cellStyle name="Normal 5 2 4 3 5 2" xfId="4384" xr:uid="{00000000-0005-0000-0000-000008190000}"/>
    <cellStyle name="Normal 5 2 4 3 5 2 2" xfId="8608" xr:uid="{00000000-0005-0000-0000-000009190000}"/>
    <cellStyle name="Normal 5 2 4 3 5 2 2 2" xfId="17037" xr:uid="{1B50554E-7163-4895-91FB-371338784491}"/>
    <cellStyle name="Normal 5 2 4 3 5 2 3" xfId="12819" xr:uid="{FCF8EF3A-D1EA-40E9-B426-2752BA9379D4}"/>
    <cellStyle name="Normal 5 2 4 3 5 3" xfId="6463" xr:uid="{00000000-0005-0000-0000-00000A190000}"/>
    <cellStyle name="Normal 5 2 4 3 5 3 2" xfId="14892" xr:uid="{E16988E3-A227-4485-B920-D56217FB87F1}"/>
    <cellStyle name="Normal 5 2 4 3 5 4" xfId="10674" xr:uid="{C2B828DD-F11B-42C5-A531-AB98CE77F3C9}"/>
    <cellStyle name="Normal 5 2 4 3 6" xfId="2591" xr:uid="{00000000-0005-0000-0000-00000B190000}"/>
    <cellStyle name="Normal 5 2 4 3 6 2" xfId="6876" xr:uid="{00000000-0005-0000-0000-00000C190000}"/>
    <cellStyle name="Normal 5 2 4 3 6 2 2" xfId="15305" xr:uid="{70739AB8-BD30-43F1-A489-86897A6D9568}"/>
    <cellStyle name="Normal 5 2 4 3 6 3" xfId="11087" xr:uid="{D27FFE92-9276-490D-A59C-A9BC8011F20D}"/>
    <cellStyle name="Normal 5 2 4 3 7" xfId="4811" xr:uid="{00000000-0005-0000-0000-00000D190000}"/>
    <cellStyle name="Normal 5 2 4 3 7 2" xfId="13240" xr:uid="{C4510612-C107-4B5C-A7E5-CC7C124B7DBC}"/>
    <cellStyle name="Normal 5 2 4 3 8" xfId="9022" xr:uid="{5840B959-8ABB-4B34-8D3C-BF4A550CC264}"/>
    <cellStyle name="Normal 5 2 4 4" xfId="907" xr:uid="{00000000-0005-0000-0000-00000E190000}"/>
    <cellStyle name="Normal 5 2 4 4 2" xfId="3142" xr:uid="{00000000-0005-0000-0000-00000F190000}"/>
    <cellStyle name="Normal 5 2 4 4 2 2" xfId="7366" xr:uid="{00000000-0005-0000-0000-000010190000}"/>
    <cellStyle name="Normal 5 2 4 4 2 2 2" xfId="15795" xr:uid="{94F15DC6-E5AD-42D1-AA58-39F0BAC5082F}"/>
    <cellStyle name="Normal 5 2 4 4 2 3" xfId="11577" xr:uid="{7CE5FA0F-9D3D-4B53-A851-314CB8E63900}"/>
    <cellStyle name="Normal 5 2 4 4 3" xfId="5221" xr:uid="{00000000-0005-0000-0000-000011190000}"/>
    <cellStyle name="Normal 5 2 4 4 3 2" xfId="13650" xr:uid="{094E2C8E-E57E-4F1E-B1CC-CF14A34F7957}"/>
    <cellStyle name="Normal 5 2 4 4 4" xfId="9432" xr:uid="{E1DC69BF-E9E9-402F-A204-3D5F7C98BA8F}"/>
    <cellStyle name="Normal 5 2 4 5" xfId="1325" xr:uid="{00000000-0005-0000-0000-000012190000}"/>
    <cellStyle name="Normal 5 2 4 5 2" xfId="3555" xr:uid="{00000000-0005-0000-0000-000013190000}"/>
    <cellStyle name="Normal 5 2 4 5 2 2" xfId="7779" xr:uid="{00000000-0005-0000-0000-000014190000}"/>
    <cellStyle name="Normal 5 2 4 5 2 2 2" xfId="16208" xr:uid="{DDFD1965-5DEE-44E0-92E3-F39A9A657502}"/>
    <cellStyle name="Normal 5 2 4 5 2 3" xfId="11990" xr:uid="{DC590F21-555A-47AC-B1E8-B9803DC26628}"/>
    <cellStyle name="Normal 5 2 4 5 3" xfId="5634" xr:uid="{00000000-0005-0000-0000-000015190000}"/>
    <cellStyle name="Normal 5 2 4 5 3 2" xfId="14063" xr:uid="{D96137A4-E457-4AF6-A185-B97E135F1F88}"/>
    <cellStyle name="Normal 5 2 4 5 4" xfId="9845" xr:uid="{9282CF09-1043-4232-A0BB-A8921566FD45}"/>
    <cellStyle name="Normal 5 2 4 6" xfId="1738" xr:uid="{00000000-0005-0000-0000-000016190000}"/>
    <cellStyle name="Normal 5 2 4 6 2" xfId="3968" xr:uid="{00000000-0005-0000-0000-000017190000}"/>
    <cellStyle name="Normal 5 2 4 6 2 2" xfId="8192" xr:uid="{00000000-0005-0000-0000-000018190000}"/>
    <cellStyle name="Normal 5 2 4 6 2 2 2" xfId="16621" xr:uid="{E8B6DA0F-E237-42FF-AECB-16A80422B665}"/>
    <cellStyle name="Normal 5 2 4 6 2 3" xfId="12403" xr:uid="{53506DC6-70FA-4CF5-9438-43077B31E653}"/>
    <cellStyle name="Normal 5 2 4 6 3" xfId="6047" xr:uid="{00000000-0005-0000-0000-000019190000}"/>
    <cellStyle name="Normal 5 2 4 6 3 2" xfId="14476" xr:uid="{4F2DA14F-5B0E-4F16-8187-42C442572CED}"/>
    <cellStyle name="Normal 5 2 4 6 4" xfId="10258" xr:uid="{EE098D66-2847-45D8-939F-5B7B129BC01C}"/>
    <cellStyle name="Normal 5 2 4 7" xfId="2152" xr:uid="{00000000-0005-0000-0000-00001A190000}"/>
    <cellStyle name="Normal 5 2 4 7 2" xfId="4381" xr:uid="{00000000-0005-0000-0000-00001B190000}"/>
    <cellStyle name="Normal 5 2 4 7 2 2" xfId="8605" xr:uid="{00000000-0005-0000-0000-00001C190000}"/>
    <cellStyle name="Normal 5 2 4 7 2 2 2" xfId="17034" xr:uid="{80C90968-85C9-4017-A821-175EFBF3A5D3}"/>
    <cellStyle name="Normal 5 2 4 7 2 3" xfId="12816" xr:uid="{F10B5187-D92A-4135-98A8-0F8435354DFB}"/>
    <cellStyle name="Normal 5 2 4 7 3" xfId="6460" xr:uid="{00000000-0005-0000-0000-00001D190000}"/>
    <cellStyle name="Normal 5 2 4 7 3 2" xfId="14889" xr:uid="{ADD980C4-5E52-43E3-8682-89E959569294}"/>
    <cellStyle name="Normal 5 2 4 7 4" xfId="10671" xr:uid="{6818664E-4359-49F9-A0C5-F96B0FDDD9FF}"/>
    <cellStyle name="Normal 5 2 4 8" xfId="2588" xr:uid="{00000000-0005-0000-0000-00001E190000}"/>
    <cellStyle name="Normal 5 2 4 8 2" xfId="6873" xr:uid="{00000000-0005-0000-0000-00001F190000}"/>
    <cellStyle name="Normal 5 2 4 8 2 2" xfId="15302" xr:uid="{5E6BF163-6BB3-4115-8153-6A717C09FF0D}"/>
    <cellStyle name="Normal 5 2 4 8 3" xfId="11084" xr:uid="{263C9A5F-EF64-41AA-BF89-9E532FA6245E}"/>
    <cellStyle name="Normal 5 2 4 9" xfId="4808" xr:uid="{00000000-0005-0000-0000-000020190000}"/>
    <cellStyle name="Normal 5 2 4 9 2" xfId="13237" xr:uid="{07BAFC07-2F6E-471C-BF75-A793DA0A9413}"/>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2 2" xfId="15800" xr:uid="{58FB0227-C5F8-4B30-A8E4-A100E55E6521}"/>
    <cellStyle name="Normal 5 2 5 2 2 2 3" xfId="11582" xr:uid="{741CAE92-5E92-4D6F-88F8-2A0428C08579}"/>
    <cellStyle name="Normal 5 2 5 2 2 3" xfId="5226" xr:uid="{00000000-0005-0000-0000-000026190000}"/>
    <cellStyle name="Normal 5 2 5 2 2 3 2" xfId="13655" xr:uid="{13E1A00B-C1CC-4B67-8B67-7A20CA19F2F2}"/>
    <cellStyle name="Normal 5 2 5 2 2 4" xfId="9437" xr:uid="{CD7CB31B-4B9E-4F1A-8AEE-FFEADC7E486D}"/>
    <cellStyle name="Normal 5 2 5 2 3" xfId="1330" xr:uid="{00000000-0005-0000-0000-000027190000}"/>
    <cellStyle name="Normal 5 2 5 2 3 2" xfId="3560" xr:uid="{00000000-0005-0000-0000-000028190000}"/>
    <cellStyle name="Normal 5 2 5 2 3 2 2" xfId="7784" xr:uid="{00000000-0005-0000-0000-000029190000}"/>
    <cellStyle name="Normal 5 2 5 2 3 2 2 2" xfId="16213" xr:uid="{166D64C6-09E1-400F-88B6-7440534961E1}"/>
    <cellStyle name="Normal 5 2 5 2 3 2 3" xfId="11995" xr:uid="{F5E1F8DE-FB20-4941-833F-CCD09DEDD2B0}"/>
    <cellStyle name="Normal 5 2 5 2 3 3" xfId="5639" xr:uid="{00000000-0005-0000-0000-00002A190000}"/>
    <cellStyle name="Normal 5 2 5 2 3 3 2" xfId="14068" xr:uid="{C906A152-46B2-4959-A44F-A8F7D3A7B80B}"/>
    <cellStyle name="Normal 5 2 5 2 3 4" xfId="9850" xr:uid="{9F9DFB14-8D8A-46ED-89A3-9C35BDA6A6DB}"/>
    <cellStyle name="Normal 5 2 5 2 4" xfId="1743" xr:uid="{00000000-0005-0000-0000-00002B190000}"/>
    <cellStyle name="Normal 5 2 5 2 4 2" xfId="3973" xr:uid="{00000000-0005-0000-0000-00002C190000}"/>
    <cellStyle name="Normal 5 2 5 2 4 2 2" xfId="8197" xr:uid="{00000000-0005-0000-0000-00002D190000}"/>
    <cellStyle name="Normal 5 2 5 2 4 2 2 2" xfId="16626" xr:uid="{C8FEBBC7-AB4F-4670-A6C8-7179E59B2A75}"/>
    <cellStyle name="Normal 5 2 5 2 4 2 3" xfId="12408" xr:uid="{6A8A4F51-C837-4C10-ABD5-0CBA4C073EE9}"/>
    <cellStyle name="Normal 5 2 5 2 4 3" xfId="6052" xr:uid="{00000000-0005-0000-0000-00002E190000}"/>
    <cellStyle name="Normal 5 2 5 2 4 3 2" xfId="14481" xr:uid="{FB9C0829-E7A2-48DC-867D-DEDA7920B65B}"/>
    <cellStyle name="Normal 5 2 5 2 4 4" xfId="10263" xr:uid="{9FE4E46F-C50D-4856-84E2-AEBF1E80ED70}"/>
    <cellStyle name="Normal 5 2 5 2 5" xfId="2157" xr:uid="{00000000-0005-0000-0000-00002F190000}"/>
    <cellStyle name="Normal 5 2 5 2 5 2" xfId="4386" xr:uid="{00000000-0005-0000-0000-000030190000}"/>
    <cellStyle name="Normal 5 2 5 2 5 2 2" xfId="8610" xr:uid="{00000000-0005-0000-0000-000031190000}"/>
    <cellStyle name="Normal 5 2 5 2 5 2 2 2" xfId="17039" xr:uid="{22955BD3-5A41-4667-BA7C-F7520DB674C7}"/>
    <cellStyle name="Normal 5 2 5 2 5 2 3" xfId="12821" xr:uid="{39E335CA-411A-4A61-A795-A2D6647EE09A}"/>
    <cellStyle name="Normal 5 2 5 2 5 3" xfId="6465" xr:uid="{00000000-0005-0000-0000-000032190000}"/>
    <cellStyle name="Normal 5 2 5 2 5 3 2" xfId="14894" xr:uid="{83C046D7-4F53-4BC2-AF6E-011D51F0A62B}"/>
    <cellStyle name="Normal 5 2 5 2 5 4" xfId="10676" xr:uid="{03BB2DE7-2302-4F37-BD40-AE4882652B99}"/>
    <cellStyle name="Normal 5 2 5 2 6" xfId="2593" xr:uid="{00000000-0005-0000-0000-000033190000}"/>
    <cellStyle name="Normal 5 2 5 2 6 2" xfId="6878" xr:uid="{00000000-0005-0000-0000-000034190000}"/>
    <cellStyle name="Normal 5 2 5 2 6 2 2" xfId="15307" xr:uid="{8D3BC396-B220-4685-B923-BA66998F308F}"/>
    <cellStyle name="Normal 5 2 5 2 6 3" xfId="11089" xr:uid="{DEB8CB6A-FD76-4068-9407-F2D43667BE18}"/>
    <cellStyle name="Normal 5 2 5 2 7" xfId="4813" xr:uid="{00000000-0005-0000-0000-000035190000}"/>
    <cellStyle name="Normal 5 2 5 2 7 2" xfId="13242" xr:uid="{4535E645-DF3B-4907-BDA8-75DACEF22E60}"/>
    <cellStyle name="Normal 5 2 5 2 8" xfId="9024" xr:uid="{195304D0-74F0-4840-92F0-78F8D066F9CF}"/>
    <cellStyle name="Normal 5 2 5 3" xfId="911" xr:uid="{00000000-0005-0000-0000-000036190000}"/>
    <cellStyle name="Normal 5 2 5 3 2" xfId="3146" xr:uid="{00000000-0005-0000-0000-000037190000}"/>
    <cellStyle name="Normal 5 2 5 3 2 2" xfId="7370" xr:uid="{00000000-0005-0000-0000-000038190000}"/>
    <cellStyle name="Normal 5 2 5 3 2 2 2" xfId="15799" xr:uid="{74ABB3B1-7C88-4805-92BA-3161B96EDF10}"/>
    <cellStyle name="Normal 5 2 5 3 2 3" xfId="11581" xr:uid="{34178BCC-2AE8-45F4-9836-5B86BBF1A080}"/>
    <cellStyle name="Normal 5 2 5 3 3" xfId="5225" xr:uid="{00000000-0005-0000-0000-000039190000}"/>
    <cellStyle name="Normal 5 2 5 3 3 2" xfId="13654" xr:uid="{8F4E9ED0-867C-4AA5-BD65-3D395EBBB8C4}"/>
    <cellStyle name="Normal 5 2 5 3 4" xfId="9436" xr:uid="{D38BA2E6-9365-4D83-B567-8755E5601CE0}"/>
    <cellStyle name="Normal 5 2 5 4" xfId="1329" xr:uid="{00000000-0005-0000-0000-00003A190000}"/>
    <cellStyle name="Normal 5 2 5 4 2" xfId="3559" xr:uid="{00000000-0005-0000-0000-00003B190000}"/>
    <cellStyle name="Normal 5 2 5 4 2 2" xfId="7783" xr:uid="{00000000-0005-0000-0000-00003C190000}"/>
    <cellStyle name="Normal 5 2 5 4 2 2 2" xfId="16212" xr:uid="{0B4C574A-CF2B-4122-942F-0D29A584F276}"/>
    <cellStyle name="Normal 5 2 5 4 2 3" xfId="11994" xr:uid="{FECCCEB7-4F1E-4E5F-B0D7-11165443568E}"/>
    <cellStyle name="Normal 5 2 5 4 3" xfId="5638" xr:uid="{00000000-0005-0000-0000-00003D190000}"/>
    <cellStyle name="Normal 5 2 5 4 3 2" xfId="14067" xr:uid="{71E2F052-D004-41E0-9ED5-4E472B80C07C}"/>
    <cellStyle name="Normal 5 2 5 4 4" xfId="9849" xr:uid="{FE0DB6B9-8286-4A8C-BFAC-B6D3E20AA0C2}"/>
    <cellStyle name="Normal 5 2 5 5" xfId="1742" xr:uid="{00000000-0005-0000-0000-00003E190000}"/>
    <cellStyle name="Normal 5 2 5 5 2" xfId="3972" xr:uid="{00000000-0005-0000-0000-00003F190000}"/>
    <cellStyle name="Normal 5 2 5 5 2 2" xfId="8196" xr:uid="{00000000-0005-0000-0000-000040190000}"/>
    <cellStyle name="Normal 5 2 5 5 2 2 2" xfId="16625" xr:uid="{3734B161-853E-4E8E-A8AD-432E77E906CF}"/>
    <cellStyle name="Normal 5 2 5 5 2 3" xfId="12407" xr:uid="{DB42C7F6-9B10-4DA3-8C35-5821E6D2C8F0}"/>
    <cellStyle name="Normal 5 2 5 5 3" xfId="6051" xr:uid="{00000000-0005-0000-0000-000041190000}"/>
    <cellStyle name="Normal 5 2 5 5 3 2" xfId="14480" xr:uid="{E384A12A-4D01-4653-8694-FF6181BB74CD}"/>
    <cellStyle name="Normal 5 2 5 5 4" xfId="10262" xr:uid="{E3BDA7F8-C822-4477-BB89-032F4BE9F84C}"/>
    <cellStyle name="Normal 5 2 5 6" xfId="2156" xr:uid="{00000000-0005-0000-0000-000042190000}"/>
    <cellStyle name="Normal 5 2 5 6 2" xfId="4385" xr:uid="{00000000-0005-0000-0000-000043190000}"/>
    <cellStyle name="Normal 5 2 5 6 2 2" xfId="8609" xr:uid="{00000000-0005-0000-0000-000044190000}"/>
    <cellStyle name="Normal 5 2 5 6 2 2 2" xfId="17038" xr:uid="{0FF34EB1-1288-4110-86B2-95EAA1AFFED6}"/>
    <cellStyle name="Normal 5 2 5 6 2 3" xfId="12820" xr:uid="{37BA5436-0517-4579-B3BC-9E28F870F17A}"/>
    <cellStyle name="Normal 5 2 5 6 3" xfId="6464" xr:uid="{00000000-0005-0000-0000-000045190000}"/>
    <cellStyle name="Normal 5 2 5 6 3 2" xfId="14893" xr:uid="{32C6743A-C23B-4C71-9B46-3850161CA66A}"/>
    <cellStyle name="Normal 5 2 5 6 4" xfId="10675" xr:uid="{9FC8822D-D82F-4646-8D87-C9FE53DA2534}"/>
    <cellStyle name="Normal 5 2 5 7" xfId="2592" xr:uid="{00000000-0005-0000-0000-000046190000}"/>
    <cellStyle name="Normal 5 2 5 7 2" xfId="6877" xr:uid="{00000000-0005-0000-0000-000047190000}"/>
    <cellStyle name="Normal 5 2 5 7 2 2" xfId="15306" xr:uid="{66594530-7662-4D82-9E67-2E5C41F794F6}"/>
    <cellStyle name="Normal 5 2 5 7 3" xfId="11088" xr:uid="{699D20BE-D262-4CF2-BEBC-F2C1B62026DE}"/>
    <cellStyle name="Normal 5 2 5 8" xfId="4812" xr:uid="{00000000-0005-0000-0000-000048190000}"/>
    <cellStyle name="Normal 5 2 5 8 2" xfId="13241" xr:uid="{6133BE11-27C7-4890-BAE0-2A5CD93CCB36}"/>
    <cellStyle name="Normal 5 2 5 9" xfId="9023" xr:uid="{53FE842D-2B93-406A-ADB3-20F2CE26FE81}"/>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2 2" xfId="15801" xr:uid="{AAC09DB3-69BA-40E3-B318-2D07AB6A8E57}"/>
    <cellStyle name="Normal 5 2 6 2 2 3" xfId="11583" xr:uid="{5C8DBE37-8656-46D8-BAE6-881E9323F3ED}"/>
    <cellStyle name="Normal 5 2 6 2 3" xfId="5227" xr:uid="{00000000-0005-0000-0000-00004D190000}"/>
    <cellStyle name="Normal 5 2 6 2 3 2" xfId="13656" xr:uid="{3276DF15-339D-4CCD-842F-B75CEE6582F3}"/>
    <cellStyle name="Normal 5 2 6 2 4" xfId="9438" xr:uid="{A259D476-329B-44D2-827E-164BF4A966E9}"/>
    <cellStyle name="Normal 5 2 6 3" xfId="1331" xr:uid="{00000000-0005-0000-0000-00004E190000}"/>
    <cellStyle name="Normal 5 2 6 3 2" xfId="3561" xr:uid="{00000000-0005-0000-0000-00004F190000}"/>
    <cellStyle name="Normal 5 2 6 3 2 2" xfId="7785" xr:uid="{00000000-0005-0000-0000-000050190000}"/>
    <cellStyle name="Normal 5 2 6 3 2 2 2" xfId="16214" xr:uid="{80377836-83E3-4FA7-9DCE-5D5FE9BBED82}"/>
    <cellStyle name="Normal 5 2 6 3 2 3" xfId="11996" xr:uid="{9CB0EABC-93A6-4246-B6CD-7B5BDAFCF916}"/>
    <cellStyle name="Normal 5 2 6 3 3" xfId="5640" xr:uid="{00000000-0005-0000-0000-000051190000}"/>
    <cellStyle name="Normal 5 2 6 3 3 2" xfId="14069" xr:uid="{F3A1133A-A999-48C3-B1C0-3A10A37B0FE1}"/>
    <cellStyle name="Normal 5 2 6 3 4" xfId="9851" xr:uid="{A7376D6C-4CF4-4755-B532-A7F1A457C63B}"/>
    <cellStyle name="Normal 5 2 6 4" xfId="1744" xr:uid="{00000000-0005-0000-0000-000052190000}"/>
    <cellStyle name="Normal 5 2 6 4 2" xfId="3974" xr:uid="{00000000-0005-0000-0000-000053190000}"/>
    <cellStyle name="Normal 5 2 6 4 2 2" xfId="8198" xr:uid="{00000000-0005-0000-0000-000054190000}"/>
    <cellStyle name="Normal 5 2 6 4 2 2 2" xfId="16627" xr:uid="{64595D9A-3DCF-4DAC-81F8-969B24E54E4C}"/>
    <cellStyle name="Normal 5 2 6 4 2 3" xfId="12409" xr:uid="{C9275F12-B23C-4D60-AEE6-C3CAF1E44D41}"/>
    <cellStyle name="Normal 5 2 6 4 3" xfId="6053" xr:uid="{00000000-0005-0000-0000-000055190000}"/>
    <cellStyle name="Normal 5 2 6 4 3 2" xfId="14482" xr:uid="{D95528AC-EB00-463B-A63B-427895984FD3}"/>
    <cellStyle name="Normal 5 2 6 4 4" xfId="10264" xr:uid="{9461825F-B93F-4B98-B4B6-4DDAFDBB37CA}"/>
    <cellStyle name="Normal 5 2 6 5" xfId="2158" xr:uid="{00000000-0005-0000-0000-000056190000}"/>
    <cellStyle name="Normal 5 2 6 5 2" xfId="4387" xr:uid="{00000000-0005-0000-0000-000057190000}"/>
    <cellStyle name="Normal 5 2 6 5 2 2" xfId="8611" xr:uid="{00000000-0005-0000-0000-000058190000}"/>
    <cellStyle name="Normal 5 2 6 5 2 2 2" xfId="17040" xr:uid="{BFCBECD2-945F-4602-A47E-308A1FE04245}"/>
    <cellStyle name="Normal 5 2 6 5 2 3" xfId="12822" xr:uid="{F77E6DA1-C9DC-4C3B-842C-F21D65411741}"/>
    <cellStyle name="Normal 5 2 6 5 3" xfId="6466" xr:uid="{00000000-0005-0000-0000-000059190000}"/>
    <cellStyle name="Normal 5 2 6 5 3 2" xfId="14895" xr:uid="{E270F820-7652-42EB-84CC-2189C6C67035}"/>
    <cellStyle name="Normal 5 2 6 5 4" xfId="10677" xr:uid="{1DA0AE9C-C53E-478C-BD95-C99F1D6DC9DC}"/>
    <cellStyle name="Normal 5 2 6 6" xfId="2594" xr:uid="{00000000-0005-0000-0000-00005A190000}"/>
    <cellStyle name="Normal 5 2 6 6 2" xfId="6879" xr:uid="{00000000-0005-0000-0000-00005B190000}"/>
    <cellStyle name="Normal 5 2 6 6 2 2" xfId="15308" xr:uid="{30CF6758-6E3E-448A-A0D6-24C9FBA90156}"/>
    <cellStyle name="Normal 5 2 6 6 3" xfId="11090" xr:uid="{E4386883-3939-4A52-ADE7-0E56AD22F8CD}"/>
    <cellStyle name="Normal 5 2 6 7" xfId="4814" xr:uid="{00000000-0005-0000-0000-00005C190000}"/>
    <cellStyle name="Normal 5 2 6 7 2" xfId="13243" xr:uid="{AD39AD47-31F7-44CF-90BD-F42BC9582042}"/>
    <cellStyle name="Normal 5 2 6 8" xfId="9025" xr:uid="{9F171DDB-8347-4DBF-A2F1-7EDB92166268}"/>
    <cellStyle name="Normal 5 2 7" xfId="882" xr:uid="{00000000-0005-0000-0000-00005D190000}"/>
    <cellStyle name="Normal 5 2 7 2" xfId="3117" xr:uid="{00000000-0005-0000-0000-00005E190000}"/>
    <cellStyle name="Normal 5 2 7 2 2" xfId="7341" xr:uid="{00000000-0005-0000-0000-00005F190000}"/>
    <cellStyle name="Normal 5 2 7 2 2 2" xfId="15770" xr:uid="{ABC83342-0A74-4F6C-94D6-46D9AF5F4D75}"/>
    <cellStyle name="Normal 5 2 7 2 3" xfId="11552" xr:uid="{9309BC4D-96FE-4210-8B62-1AB3F193E549}"/>
    <cellStyle name="Normal 5 2 7 3" xfId="5196" xr:uid="{00000000-0005-0000-0000-000060190000}"/>
    <cellStyle name="Normal 5 2 7 3 2" xfId="13625" xr:uid="{1DB2D487-6989-433C-BD85-E0FFCD5F35F6}"/>
    <cellStyle name="Normal 5 2 7 4" xfId="9407" xr:uid="{FD45B83F-0FA7-42BD-8126-A9D5716805C2}"/>
    <cellStyle name="Normal 5 2 8" xfId="1300" xr:uid="{00000000-0005-0000-0000-000061190000}"/>
    <cellStyle name="Normal 5 2 8 2" xfId="3530" xr:uid="{00000000-0005-0000-0000-000062190000}"/>
    <cellStyle name="Normal 5 2 8 2 2" xfId="7754" xr:uid="{00000000-0005-0000-0000-000063190000}"/>
    <cellStyle name="Normal 5 2 8 2 2 2" xfId="16183" xr:uid="{BC2225BC-245E-4C2B-B9C1-D64189EA48FD}"/>
    <cellStyle name="Normal 5 2 8 2 3" xfId="11965" xr:uid="{79D3A6DB-C914-432C-999F-C3AF8309BF60}"/>
    <cellStyle name="Normal 5 2 8 3" xfId="5609" xr:uid="{00000000-0005-0000-0000-000064190000}"/>
    <cellStyle name="Normal 5 2 8 3 2" xfId="14038" xr:uid="{B6557479-3E54-45FB-B193-BC63FCAEFF88}"/>
    <cellStyle name="Normal 5 2 8 4" xfId="9820" xr:uid="{BEC31373-7D93-4087-AC95-8556B746CEC2}"/>
    <cellStyle name="Normal 5 2 9" xfId="1713" xr:uid="{00000000-0005-0000-0000-000065190000}"/>
    <cellStyle name="Normal 5 2 9 2" xfId="3943" xr:uid="{00000000-0005-0000-0000-000066190000}"/>
    <cellStyle name="Normal 5 2 9 2 2" xfId="8167" xr:uid="{00000000-0005-0000-0000-000067190000}"/>
    <cellStyle name="Normal 5 2 9 2 2 2" xfId="16596" xr:uid="{B953F968-B69E-47D2-97B7-BCA05D05B3F9}"/>
    <cellStyle name="Normal 5 2 9 2 3" xfId="12378" xr:uid="{82A6EAD9-6D80-4538-BE54-E754531868A0}"/>
    <cellStyle name="Normal 5 2 9 3" xfId="6022" xr:uid="{00000000-0005-0000-0000-000068190000}"/>
    <cellStyle name="Normal 5 2 9 3 2" xfId="14451" xr:uid="{1DDA6482-1973-4F98-BF1C-DB194F027EB9}"/>
    <cellStyle name="Normal 5 2 9 4" xfId="10233" xr:uid="{27ECF945-AD15-4410-9EBF-1456E48A3C68}"/>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2 2" xfId="17041" xr:uid="{21111CAB-C3F9-49E9-AC13-28AC371A61F9}"/>
    <cellStyle name="Normal 5 3 10 2 3" xfId="12823" xr:uid="{F6AD1DDB-0EE7-4487-AEC2-5526684C7556}"/>
    <cellStyle name="Normal 5 3 10 3" xfId="6467" xr:uid="{00000000-0005-0000-0000-00006D190000}"/>
    <cellStyle name="Normal 5 3 10 3 2" xfId="14896" xr:uid="{A4E8FDF8-408A-4A0A-BDF5-A90931C81565}"/>
    <cellStyle name="Normal 5 3 10 4" xfId="10678" xr:uid="{C58ED110-827F-499E-83E6-F2F53D279A4E}"/>
    <cellStyle name="Normal 5 3 11" xfId="2595" xr:uid="{00000000-0005-0000-0000-00006E190000}"/>
    <cellStyle name="Normal 5 3 11 2" xfId="6880" xr:uid="{00000000-0005-0000-0000-00006F190000}"/>
    <cellStyle name="Normal 5 3 11 2 2" xfId="15309" xr:uid="{49AAA24A-197B-4346-A39D-5D66AECA1DE1}"/>
    <cellStyle name="Normal 5 3 11 3" xfId="11091" xr:uid="{14374494-02C6-488B-B872-5DE803EC01EA}"/>
    <cellStyle name="Normal 5 3 12" xfId="4815" xr:uid="{00000000-0005-0000-0000-000070190000}"/>
    <cellStyle name="Normal 5 3 12 2" xfId="13244" xr:uid="{CA507F10-21CB-4F4C-ABCB-F1EA71A5C087}"/>
    <cellStyle name="Normal 5 3 13" xfId="9026" xr:uid="{948BACDF-4B74-4CB2-897D-09577F9B4753}"/>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0 2" xfId="13245" xr:uid="{E92B038C-D2A1-46AB-824F-55FE963188E2}"/>
    <cellStyle name="Normal 5 3 3 11" xfId="9027" xr:uid="{7BE5878F-F65C-47A1-BD9B-E8789A7DCC0A}"/>
    <cellStyle name="Normal 5 3 3 2" xfId="442" xr:uid="{00000000-0005-0000-0000-000075190000}"/>
    <cellStyle name="Normal 5 3 3 2 10" xfId="9028" xr:uid="{5A27E8EE-4EDD-43B8-8488-1B6822366A19}"/>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2 2" xfId="15806" xr:uid="{903286A5-17EC-4D40-B27D-E3B4F807B6ED}"/>
    <cellStyle name="Normal 5 3 3 2 2 2 2 2 3" xfId="11588" xr:uid="{852CCA84-BE8A-43F2-ADA1-B10C87905EF5}"/>
    <cellStyle name="Normal 5 3 3 2 2 2 2 3" xfId="5232" xr:uid="{00000000-0005-0000-0000-00007B190000}"/>
    <cellStyle name="Normal 5 3 3 2 2 2 2 3 2" xfId="13661" xr:uid="{E391F264-CEA1-477A-932A-72FE31FFF469}"/>
    <cellStyle name="Normal 5 3 3 2 2 2 2 4" xfId="9443" xr:uid="{CB9A5CF0-8324-4213-943C-E2D0AC811D1B}"/>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2 2" xfId="16219" xr:uid="{16F26A3B-879F-4D90-8967-338867D10D6D}"/>
    <cellStyle name="Normal 5 3 3 2 2 2 3 2 3" xfId="12001" xr:uid="{70BCC159-BFD6-4CEA-A915-CEBBD6F61DB9}"/>
    <cellStyle name="Normal 5 3 3 2 2 2 3 3" xfId="5645" xr:uid="{00000000-0005-0000-0000-00007F190000}"/>
    <cellStyle name="Normal 5 3 3 2 2 2 3 3 2" xfId="14074" xr:uid="{585B9EA8-51CC-4952-9917-0C94819E34DC}"/>
    <cellStyle name="Normal 5 3 3 2 2 2 3 4" xfId="9856" xr:uid="{C98A13AF-12A0-4024-A3C6-564383E09FD2}"/>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2 2" xfId="16632" xr:uid="{416459C5-E65F-4B0F-8C24-C9F454954C35}"/>
    <cellStyle name="Normal 5 3 3 2 2 2 4 2 3" xfId="12414" xr:uid="{A8AAEB22-8E9D-470A-8301-0AEE9E547AEE}"/>
    <cellStyle name="Normal 5 3 3 2 2 2 4 3" xfId="6058" xr:uid="{00000000-0005-0000-0000-000083190000}"/>
    <cellStyle name="Normal 5 3 3 2 2 2 4 3 2" xfId="14487" xr:uid="{4A2DB581-1D6D-4786-AFA3-172FC41CDF0D}"/>
    <cellStyle name="Normal 5 3 3 2 2 2 4 4" xfId="10269" xr:uid="{CC80C9C8-2F3A-470D-8A02-D2D1CBD98AE4}"/>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2 2" xfId="17045" xr:uid="{70CDD950-C890-4BE1-8417-EA932F8DAC7F}"/>
    <cellStyle name="Normal 5 3 3 2 2 2 5 2 3" xfId="12827" xr:uid="{E52F285A-59DB-40C3-AD30-D1F6FF7098D7}"/>
    <cellStyle name="Normal 5 3 3 2 2 2 5 3" xfId="6471" xr:uid="{00000000-0005-0000-0000-000087190000}"/>
    <cellStyle name="Normal 5 3 3 2 2 2 5 3 2" xfId="14900" xr:uid="{3308BFF1-E539-416C-A277-BACFD127AD67}"/>
    <cellStyle name="Normal 5 3 3 2 2 2 5 4" xfId="10682" xr:uid="{661FA241-57FE-4C8B-92AD-19BE4AF3A324}"/>
    <cellStyle name="Normal 5 3 3 2 2 2 6" xfId="2599" xr:uid="{00000000-0005-0000-0000-000088190000}"/>
    <cellStyle name="Normal 5 3 3 2 2 2 6 2" xfId="6884" xr:uid="{00000000-0005-0000-0000-000089190000}"/>
    <cellStyle name="Normal 5 3 3 2 2 2 6 2 2" xfId="15313" xr:uid="{FF23B93E-D03C-44E3-924D-C7E42508BE7E}"/>
    <cellStyle name="Normal 5 3 3 2 2 2 6 3" xfId="11095" xr:uid="{774B1B0F-B503-4AEF-8764-DB78A145969C}"/>
    <cellStyle name="Normal 5 3 3 2 2 2 7" xfId="4819" xr:uid="{00000000-0005-0000-0000-00008A190000}"/>
    <cellStyle name="Normal 5 3 3 2 2 2 7 2" xfId="13248" xr:uid="{A5977975-D025-4F68-82AA-9F6DC246F017}"/>
    <cellStyle name="Normal 5 3 3 2 2 2 8" xfId="9030" xr:uid="{4D6A5BCD-DE66-471D-B308-054FEBE26947}"/>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2 2" xfId="15805" xr:uid="{77DBB849-C32C-4081-8FE4-FB2A7E8BFE05}"/>
    <cellStyle name="Normal 5 3 3 2 2 3 2 3" xfId="11587" xr:uid="{A135EE86-0AF7-4A2F-830F-BBFF0B1FA3AC}"/>
    <cellStyle name="Normal 5 3 3 2 2 3 3" xfId="5231" xr:uid="{00000000-0005-0000-0000-00008E190000}"/>
    <cellStyle name="Normal 5 3 3 2 2 3 3 2" xfId="13660" xr:uid="{F08E71F4-49CA-4EC5-88C9-63E44980A1B1}"/>
    <cellStyle name="Normal 5 3 3 2 2 3 4" xfId="9442" xr:uid="{14A188F1-9106-41AD-A104-25D7E4F3470E}"/>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2 2" xfId="16218" xr:uid="{9BFCEFF4-88C7-41ED-ADE0-82386196CAF8}"/>
    <cellStyle name="Normal 5 3 3 2 2 4 2 3" xfId="12000" xr:uid="{726D99F8-FBED-4EF8-92DC-BE63A0482893}"/>
    <cellStyle name="Normal 5 3 3 2 2 4 3" xfId="5644" xr:uid="{00000000-0005-0000-0000-000092190000}"/>
    <cellStyle name="Normal 5 3 3 2 2 4 3 2" xfId="14073" xr:uid="{4435AB2F-50C4-47AD-9368-EDCEF461CB30}"/>
    <cellStyle name="Normal 5 3 3 2 2 4 4" xfId="9855" xr:uid="{383D1ED1-3337-4B00-8F71-8D51D745E6F1}"/>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2 2" xfId="16631" xr:uid="{9B2768F9-1633-46AA-8A04-2D99B05F7876}"/>
    <cellStyle name="Normal 5 3 3 2 2 5 2 3" xfId="12413" xr:uid="{256A3B9B-CC1F-494D-895E-5078A1A36FA6}"/>
    <cellStyle name="Normal 5 3 3 2 2 5 3" xfId="6057" xr:uid="{00000000-0005-0000-0000-000096190000}"/>
    <cellStyle name="Normal 5 3 3 2 2 5 3 2" xfId="14486" xr:uid="{4D3B0198-490A-4B54-948A-D430F21116BE}"/>
    <cellStyle name="Normal 5 3 3 2 2 5 4" xfId="10268" xr:uid="{F3441A7C-15CE-4EE9-BE1A-5272967593CB}"/>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2 2" xfId="17044" xr:uid="{20D884E4-C51D-4271-B226-67E6DA254707}"/>
    <cellStyle name="Normal 5 3 3 2 2 6 2 3" xfId="12826" xr:uid="{744CD3F4-33F1-477A-BAA6-B7D3A3F75E24}"/>
    <cellStyle name="Normal 5 3 3 2 2 6 3" xfId="6470" xr:uid="{00000000-0005-0000-0000-00009A190000}"/>
    <cellStyle name="Normal 5 3 3 2 2 6 3 2" xfId="14899" xr:uid="{85B2F7DF-5BCC-4A7D-A7C7-86387D208A3C}"/>
    <cellStyle name="Normal 5 3 3 2 2 6 4" xfId="10681" xr:uid="{C37072FD-A396-45F6-8228-2BB9C4596BC9}"/>
    <cellStyle name="Normal 5 3 3 2 2 7" xfId="2598" xr:uid="{00000000-0005-0000-0000-00009B190000}"/>
    <cellStyle name="Normal 5 3 3 2 2 7 2" xfId="6883" xr:uid="{00000000-0005-0000-0000-00009C190000}"/>
    <cellStyle name="Normal 5 3 3 2 2 7 2 2" xfId="15312" xr:uid="{3E40CEF4-9777-44CB-8544-6D2598A3D9A7}"/>
    <cellStyle name="Normal 5 3 3 2 2 7 3" xfId="11094" xr:uid="{C7ECC4CD-535D-4F2F-BE97-B8CC1F2AF4A3}"/>
    <cellStyle name="Normal 5 3 3 2 2 8" xfId="4818" xr:uid="{00000000-0005-0000-0000-00009D190000}"/>
    <cellStyle name="Normal 5 3 3 2 2 8 2" xfId="13247" xr:uid="{594D906E-BA4D-4F27-8F09-FED88C5EE445}"/>
    <cellStyle name="Normal 5 3 3 2 2 9" xfId="9029" xr:uid="{8EB475A9-E715-42A1-9BCD-51699C66D833}"/>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2 2" xfId="15807" xr:uid="{7F86C5FA-12BA-4C2E-BB2C-55BD8DA2DFBC}"/>
    <cellStyle name="Normal 5 3 3 2 3 2 2 3" xfId="11589" xr:uid="{13598BAD-2EB8-44EF-BAF9-DD464E85448D}"/>
    <cellStyle name="Normal 5 3 3 2 3 2 3" xfId="5233" xr:uid="{00000000-0005-0000-0000-0000A2190000}"/>
    <cellStyle name="Normal 5 3 3 2 3 2 3 2" xfId="13662" xr:uid="{C55C8514-5925-4888-A49E-C75C29CF87E8}"/>
    <cellStyle name="Normal 5 3 3 2 3 2 4" xfId="9444" xr:uid="{7FA79D9F-8B3E-45F7-8E71-987AC43CC9B2}"/>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2 2" xfId="16220" xr:uid="{47E7D4EF-0D00-4B65-8CE4-2F46AB6A08BB}"/>
    <cellStyle name="Normal 5 3 3 2 3 3 2 3" xfId="12002" xr:uid="{B908B976-C16B-49B1-9904-E01A2100CA31}"/>
    <cellStyle name="Normal 5 3 3 2 3 3 3" xfId="5646" xr:uid="{00000000-0005-0000-0000-0000A6190000}"/>
    <cellStyle name="Normal 5 3 3 2 3 3 3 2" xfId="14075" xr:uid="{624C06DC-E3F2-4DB7-A643-0E28826CE485}"/>
    <cellStyle name="Normal 5 3 3 2 3 3 4" xfId="9857" xr:uid="{9AC86A20-01ED-4140-8E7B-CA731EA99C53}"/>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2 2" xfId="16633" xr:uid="{DD9218FA-2E80-4F23-A4FD-3C24D3E13880}"/>
    <cellStyle name="Normal 5 3 3 2 3 4 2 3" xfId="12415" xr:uid="{6FB9E793-10C1-4409-B86F-D6E76517B097}"/>
    <cellStyle name="Normal 5 3 3 2 3 4 3" xfId="6059" xr:uid="{00000000-0005-0000-0000-0000AA190000}"/>
    <cellStyle name="Normal 5 3 3 2 3 4 3 2" xfId="14488" xr:uid="{91B96837-6E58-4B2D-A1ED-1A5A6271D83B}"/>
    <cellStyle name="Normal 5 3 3 2 3 4 4" xfId="10270" xr:uid="{CC991283-ACA8-4FDA-988C-DEEA0DDF38DE}"/>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2 2" xfId="17046" xr:uid="{E64C3B42-1DE1-42FE-B9A8-EEBB45DFC77D}"/>
    <cellStyle name="Normal 5 3 3 2 3 5 2 3" xfId="12828" xr:uid="{C760BB87-993C-49B0-8451-C0D6B602E575}"/>
    <cellStyle name="Normal 5 3 3 2 3 5 3" xfId="6472" xr:uid="{00000000-0005-0000-0000-0000AE190000}"/>
    <cellStyle name="Normal 5 3 3 2 3 5 3 2" xfId="14901" xr:uid="{8781433F-DE68-48B0-A2A4-22A897108355}"/>
    <cellStyle name="Normal 5 3 3 2 3 5 4" xfId="10683" xr:uid="{C41E7EA8-CB86-4507-9266-EE80AF7446F6}"/>
    <cellStyle name="Normal 5 3 3 2 3 6" xfId="2600" xr:uid="{00000000-0005-0000-0000-0000AF190000}"/>
    <cellStyle name="Normal 5 3 3 2 3 6 2" xfId="6885" xr:uid="{00000000-0005-0000-0000-0000B0190000}"/>
    <cellStyle name="Normal 5 3 3 2 3 6 2 2" xfId="15314" xr:uid="{05E6480E-9546-4CA9-B359-07724A71DDB6}"/>
    <cellStyle name="Normal 5 3 3 2 3 6 3" xfId="11096" xr:uid="{78BC90D3-36D8-4C91-B58C-931DF2BB4C8E}"/>
    <cellStyle name="Normal 5 3 3 2 3 7" xfId="4820" xr:uid="{00000000-0005-0000-0000-0000B1190000}"/>
    <cellStyle name="Normal 5 3 3 2 3 7 2" xfId="13249" xr:uid="{68F4D1B7-A1FD-4859-8A65-AF5C0383157C}"/>
    <cellStyle name="Normal 5 3 3 2 3 8" xfId="9031" xr:uid="{FB33D680-047E-4109-8750-7816134DD75E}"/>
    <cellStyle name="Normal 5 3 3 2 4" xfId="917" xr:uid="{00000000-0005-0000-0000-0000B2190000}"/>
    <cellStyle name="Normal 5 3 3 2 4 2" xfId="3151" xr:uid="{00000000-0005-0000-0000-0000B3190000}"/>
    <cellStyle name="Normal 5 3 3 2 4 2 2" xfId="7375" xr:uid="{00000000-0005-0000-0000-0000B4190000}"/>
    <cellStyle name="Normal 5 3 3 2 4 2 2 2" xfId="15804" xr:uid="{A76CA5DA-6480-4E86-A7EC-BBBCA81F74F2}"/>
    <cellStyle name="Normal 5 3 3 2 4 2 3" xfId="11586" xr:uid="{4C28E909-9D3A-4914-8D71-BE44590A3F2F}"/>
    <cellStyle name="Normal 5 3 3 2 4 3" xfId="5230" xr:uid="{00000000-0005-0000-0000-0000B5190000}"/>
    <cellStyle name="Normal 5 3 3 2 4 3 2" xfId="13659" xr:uid="{7F977104-AC8C-4185-8409-B7BA57F51FAF}"/>
    <cellStyle name="Normal 5 3 3 2 4 4" xfId="9441" xr:uid="{B9B72405-43AF-4635-9549-81BC74DC593A}"/>
    <cellStyle name="Normal 5 3 3 2 5" xfId="1334" xr:uid="{00000000-0005-0000-0000-0000B6190000}"/>
    <cellStyle name="Normal 5 3 3 2 5 2" xfId="3564" xr:uid="{00000000-0005-0000-0000-0000B7190000}"/>
    <cellStyle name="Normal 5 3 3 2 5 2 2" xfId="7788" xr:uid="{00000000-0005-0000-0000-0000B8190000}"/>
    <cellStyle name="Normal 5 3 3 2 5 2 2 2" xfId="16217" xr:uid="{5D8DDAF7-E7B8-4979-92DA-98FF1748322C}"/>
    <cellStyle name="Normal 5 3 3 2 5 2 3" xfId="11999" xr:uid="{1B0A3BEA-D7EB-43D8-8FC0-1B9313EE7D23}"/>
    <cellStyle name="Normal 5 3 3 2 5 3" xfId="5643" xr:uid="{00000000-0005-0000-0000-0000B9190000}"/>
    <cellStyle name="Normal 5 3 3 2 5 3 2" xfId="14072" xr:uid="{BDD13EE1-07F7-4A90-8BD9-1074FF466907}"/>
    <cellStyle name="Normal 5 3 3 2 5 4" xfId="9854" xr:uid="{357324B7-50CA-4350-A2D8-3DD19944E46B}"/>
    <cellStyle name="Normal 5 3 3 2 6" xfId="1747" xr:uid="{00000000-0005-0000-0000-0000BA190000}"/>
    <cellStyle name="Normal 5 3 3 2 6 2" xfId="3977" xr:uid="{00000000-0005-0000-0000-0000BB190000}"/>
    <cellStyle name="Normal 5 3 3 2 6 2 2" xfId="8201" xr:uid="{00000000-0005-0000-0000-0000BC190000}"/>
    <cellStyle name="Normal 5 3 3 2 6 2 2 2" xfId="16630" xr:uid="{5281F751-2536-4D38-ABC7-8A804B79EA99}"/>
    <cellStyle name="Normal 5 3 3 2 6 2 3" xfId="12412" xr:uid="{FAD3F057-14A0-4F08-AA56-7A30B1A78F8F}"/>
    <cellStyle name="Normal 5 3 3 2 6 3" xfId="6056" xr:uid="{00000000-0005-0000-0000-0000BD190000}"/>
    <cellStyle name="Normal 5 3 3 2 6 3 2" xfId="14485" xr:uid="{41020688-3FD2-400A-9DD8-E4B1E477367F}"/>
    <cellStyle name="Normal 5 3 3 2 6 4" xfId="10267" xr:uid="{FA5A88DB-0475-4969-97C2-372E0FF7605C}"/>
    <cellStyle name="Normal 5 3 3 2 7" xfId="2161" xr:uid="{00000000-0005-0000-0000-0000BE190000}"/>
    <cellStyle name="Normal 5 3 3 2 7 2" xfId="4390" xr:uid="{00000000-0005-0000-0000-0000BF190000}"/>
    <cellStyle name="Normal 5 3 3 2 7 2 2" xfId="8614" xr:uid="{00000000-0005-0000-0000-0000C0190000}"/>
    <cellStyle name="Normal 5 3 3 2 7 2 2 2" xfId="17043" xr:uid="{DD44A1A8-A9DC-4A7A-B854-24730D1F5035}"/>
    <cellStyle name="Normal 5 3 3 2 7 2 3" xfId="12825" xr:uid="{9172DA34-BE9A-41EF-92DE-443A635637E5}"/>
    <cellStyle name="Normal 5 3 3 2 7 3" xfId="6469" xr:uid="{00000000-0005-0000-0000-0000C1190000}"/>
    <cellStyle name="Normal 5 3 3 2 7 3 2" xfId="14898" xr:uid="{DCA3834A-A923-4723-9D46-926C14BF0B16}"/>
    <cellStyle name="Normal 5 3 3 2 7 4" xfId="10680" xr:uid="{97566EFA-F50F-4F64-A684-8F886509D8EF}"/>
    <cellStyle name="Normal 5 3 3 2 8" xfId="2597" xr:uid="{00000000-0005-0000-0000-0000C2190000}"/>
    <cellStyle name="Normal 5 3 3 2 8 2" xfId="6882" xr:uid="{00000000-0005-0000-0000-0000C3190000}"/>
    <cellStyle name="Normal 5 3 3 2 8 2 2" xfId="15311" xr:uid="{9133E42A-2D6E-4B3F-912C-1087B2214FFF}"/>
    <cellStyle name="Normal 5 3 3 2 8 3" xfId="11093" xr:uid="{BF1639AD-E4B9-484A-B618-FC3BC78F6601}"/>
    <cellStyle name="Normal 5 3 3 2 9" xfId="4817" xr:uid="{00000000-0005-0000-0000-0000C4190000}"/>
    <cellStyle name="Normal 5 3 3 2 9 2" xfId="13246" xr:uid="{DEE00D51-17B3-434E-BD02-1B0AA483D37B}"/>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2 2" xfId="15809" xr:uid="{8E8414A5-DFEC-4EAA-BCBF-0FB72B8B9A71}"/>
    <cellStyle name="Normal 5 3 3 3 2 2 2 3" xfId="11591" xr:uid="{F07DEFD7-DFA4-48F4-8025-CCABD1502F2F}"/>
    <cellStyle name="Normal 5 3 3 3 2 2 3" xfId="5235" xr:uid="{00000000-0005-0000-0000-0000CA190000}"/>
    <cellStyle name="Normal 5 3 3 3 2 2 3 2" xfId="13664" xr:uid="{E7D1FD56-8724-49DD-A4D9-5526F66F8023}"/>
    <cellStyle name="Normal 5 3 3 3 2 2 4" xfId="9446" xr:uid="{7D83265B-A943-4AEC-9499-27B501E425E9}"/>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2 2" xfId="16222" xr:uid="{0D33D4C9-CBDC-4BE7-94DD-479AC1989E07}"/>
    <cellStyle name="Normal 5 3 3 3 2 3 2 3" xfId="12004" xr:uid="{F03149CF-A3B8-45B7-8047-4D3813A686B0}"/>
    <cellStyle name="Normal 5 3 3 3 2 3 3" xfId="5648" xr:uid="{00000000-0005-0000-0000-0000CE190000}"/>
    <cellStyle name="Normal 5 3 3 3 2 3 3 2" xfId="14077" xr:uid="{D57E31B9-4BF3-4CDD-BFE0-E5F54240CE22}"/>
    <cellStyle name="Normal 5 3 3 3 2 3 4" xfId="9859" xr:uid="{059461DE-052F-4EF0-B1FF-5506CB1A040D}"/>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2 2" xfId="16635" xr:uid="{47476B22-F3EE-4140-A2FA-77DDD423E386}"/>
    <cellStyle name="Normal 5 3 3 3 2 4 2 3" xfId="12417" xr:uid="{C205454E-C8E9-493C-833A-97F28E848A8D}"/>
    <cellStyle name="Normal 5 3 3 3 2 4 3" xfId="6061" xr:uid="{00000000-0005-0000-0000-0000D2190000}"/>
    <cellStyle name="Normal 5 3 3 3 2 4 3 2" xfId="14490" xr:uid="{E4DD3B03-7DA8-4F9E-A497-87F8441919DF}"/>
    <cellStyle name="Normal 5 3 3 3 2 4 4" xfId="10272" xr:uid="{619D8D4D-D221-4ED9-82B6-7F301A8AE03B}"/>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2 2" xfId="17048" xr:uid="{F48D8909-C249-4880-A6A1-8B09B3571169}"/>
    <cellStyle name="Normal 5 3 3 3 2 5 2 3" xfId="12830" xr:uid="{D282B8EA-D359-4F52-91DF-F726BC39E18E}"/>
    <cellStyle name="Normal 5 3 3 3 2 5 3" xfId="6474" xr:uid="{00000000-0005-0000-0000-0000D6190000}"/>
    <cellStyle name="Normal 5 3 3 3 2 5 3 2" xfId="14903" xr:uid="{5B8ECC37-6773-40EA-BEB4-791AFBA6E5DE}"/>
    <cellStyle name="Normal 5 3 3 3 2 5 4" xfId="10685" xr:uid="{33CCFAC4-E47A-4B97-BD84-1A278076A8F4}"/>
    <cellStyle name="Normal 5 3 3 3 2 6" xfId="2602" xr:uid="{00000000-0005-0000-0000-0000D7190000}"/>
    <cellStyle name="Normal 5 3 3 3 2 6 2" xfId="6887" xr:uid="{00000000-0005-0000-0000-0000D8190000}"/>
    <cellStyle name="Normal 5 3 3 3 2 6 2 2" xfId="15316" xr:uid="{3BD53BEE-BAF6-4E93-B019-87005EB7CBEB}"/>
    <cellStyle name="Normal 5 3 3 3 2 6 3" xfId="11098" xr:uid="{5989E905-D605-4250-9CCF-E92F5932496C}"/>
    <cellStyle name="Normal 5 3 3 3 2 7" xfId="4822" xr:uid="{00000000-0005-0000-0000-0000D9190000}"/>
    <cellStyle name="Normal 5 3 3 3 2 7 2" xfId="13251" xr:uid="{11755505-9D21-431F-9D5E-BF7B39CA2A3D}"/>
    <cellStyle name="Normal 5 3 3 3 2 8" xfId="9033" xr:uid="{3B97A3C4-ED16-488B-8FB5-37F05BF6BA0F}"/>
    <cellStyle name="Normal 5 3 3 3 3" xfId="921" xr:uid="{00000000-0005-0000-0000-0000DA190000}"/>
    <cellStyle name="Normal 5 3 3 3 3 2" xfId="3155" xr:uid="{00000000-0005-0000-0000-0000DB190000}"/>
    <cellStyle name="Normal 5 3 3 3 3 2 2" xfId="7379" xr:uid="{00000000-0005-0000-0000-0000DC190000}"/>
    <cellStyle name="Normal 5 3 3 3 3 2 2 2" xfId="15808" xr:uid="{B6FA85FA-4A56-409C-9C53-F3BF62E7D40F}"/>
    <cellStyle name="Normal 5 3 3 3 3 2 3" xfId="11590" xr:uid="{D170117F-D4CA-4E8F-8ED3-22F4890E36E6}"/>
    <cellStyle name="Normal 5 3 3 3 3 3" xfId="5234" xr:uid="{00000000-0005-0000-0000-0000DD190000}"/>
    <cellStyle name="Normal 5 3 3 3 3 3 2" xfId="13663" xr:uid="{1532CCB4-D1D0-48BB-910F-A5BDE939BF3E}"/>
    <cellStyle name="Normal 5 3 3 3 3 4" xfId="9445" xr:uid="{BB1425C1-317A-4104-8027-9C0BE21DB841}"/>
    <cellStyle name="Normal 5 3 3 3 4" xfId="1338" xr:uid="{00000000-0005-0000-0000-0000DE190000}"/>
    <cellStyle name="Normal 5 3 3 3 4 2" xfId="3568" xr:uid="{00000000-0005-0000-0000-0000DF190000}"/>
    <cellStyle name="Normal 5 3 3 3 4 2 2" xfId="7792" xr:uid="{00000000-0005-0000-0000-0000E0190000}"/>
    <cellStyle name="Normal 5 3 3 3 4 2 2 2" xfId="16221" xr:uid="{4A911D84-EA5F-4926-A616-454779C26478}"/>
    <cellStyle name="Normal 5 3 3 3 4 2 3" xfId="12003" xr:uid="{76F410C0-3B3A-4272-927D-17A11A5261AC}"/>
    <cellStyle name="Normal 5 3 3 3 4 3" xfId="5647" xr:uid="{00000000-0005-0000-0000-0000E1190000}"/>
    <cellStyle name="Normal 5 3 3 3 4 3 2" xfId="14076" xr:uid="{865EABDA-FAFA-458F-B08F-6B99754FF062}"/>
    <cellStyle name="Normal 5 3 3 3 4 4" xfId="9858" xr:uid="{EB4DF9A3-C297-4BD2-89CF-3BDD4EE9A193}"/>
    <cellStyle name="Normal 5 3 3 3 5" xfId="1751" xr:uid="{00000000-0005-0000-0000-0000E2190000}"/>
    <cellStyle name="Normal 5 3 3 3 5 2" xfId="3981" xr:uid="{00000000-0005-0000-0000-0000E3190000}"/>
    <cellStyle name="Normal 5 3 3 3 5 2 2" xfId="8205" xr:uid="{00000000-0005-0000-0000-0000E4190000}"/>
    <cellStyle name="Normal 5 3 3 3 5 2 2 2" xfId="16634" xr:uid="{E88861F9-7040-4B52-A44D-6C715E21AB4F}"/>
    <cellStyle name="Normal 5 3 3 3 5 2 3" xfId="12416" xr:uid="{85FD2D91-4F04-42F8-89DB-B51BEE04C531}"/>
    <cellStyle name="Normal 5 3 3 3 5 3" xfId="6060" xr:uid="{00000000-0005-0000-0000-0000E5190000}"/>
    <cellStyle name="Normal 5 3 3 3 5 3 2" xfId="14489" xr:uid="{F8D5E06B-2586-4037-8EE2-679CAAE79AEC}"/>
    <cellStyle name="Normal 5 3 3 3 5 4" xfId="10271" xr:uid="{313EAD34-85BA-4D31-9021-814B6EF803BD}"/>
    <cellStyle name="Normal 5 3 3 3 6" xfId="2165" xr:uid="{00000000-0005-0000-0000-0000E6190000}"/>
    <cellStyle name="Normal 5 3 3 3 6 2" xfId="4394" xr:uid="{00000000-0005-0000-0000-0000E7190000}"/>
    <cellStyle name="Normal 5 3 3 3 6 2 2" xfId="8618" xr:uid="{00000000-0005-0000-0000-0000E8190000}"/>
    <cellStyle name="Normal 5 3 3 3 6 2 2 2" xfId="17047" xr:uid="{77D2D953-EADC-457A-B7F9-5C5AB958FCA7}"/>
    <cellStyle name="Normal 5 3 3 3 6 2 3" xfId="12829" xr:uid="{E273D959-FF05-4379-89AB-32295342F19A}"/>
    <cellStyle name="Normal 5 3 3 3 6 3" xfId="6473" xr:uid="{00000000-0005-0000-0000-0000E9190000}"/>
    <cellStyle name="Normal 5 3 3 3 6 3 2" xfId="14902" xr:uid="{26F9C42A-3820-4D49-94EE-2CD66822D3ED}"/>
    <cellStyle name="Normal 5 3 3 3 6 4" xfId="10684" xr:uid="{88049D1B-54D2-43B8-B4EA-9A2D88C883BF}"/>
    <cellStyle name="Normal 5 3 3 3 7" xfId="2601" xr:uid="{00000000-0005-0000-0000-0000EA190000}"/>
    <cellStyle name="Normal 5 3 3 3 7 2" xfId="6886" xr:uid="{00000000-0005-0000-0000-0000EB190000}"/>
    <cellStyle name="Normal 5 3 3 3 7 2 2" xfId="15315" xr:uid="{E76F63D2-1350-4013-8747-DDF83B941FBE}"/>
    <cellStyle name="Normal 5 3 3 3 7 3" xfId="11097" xr:uid="{E58A471E-23BA-4B8C-B6BF-25741A1FB024}"/>
    <cellStyle name="Normal 5 3 3 3 8" xfId="4821" xr:uid="{00000000-0005-0000-0000-0000EC190000}"/>
    <cellStyle name="Normal 5 3 3 3 8 2" xfId="13250" xr:uid="{0C68260F-A060-411D-8F71-845F7CC0051C}"/>
    <cellStyle name="Normal 5 3 3 3 9" xfId="9032" xr:uid="{D0863648-342C-44E1-A084-C88697C1706C}"/>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2 2" xfId="15810" xr:uid="{4B9AF813-F24E-4380-8401-D6B5F1DE1E84}"/>
    <cellStyle name="Normal 5 3 3 4 2 2 3" xfId="11592" xr:uid="{B69BB093-6526-42AA-A24F-42379965B082}"/>
    <cellStyle name="Normal 5 3 3 4 2 3" xfId="5236" xr:uid="{00000000-0005-0000-0000-0000F1190000}"/>
    <cellStyle name="Normal 5 3 3 4 2 3 2" xfId="13665" xr:uid="{24247243-E9CF-4257-9A09-5CA44AE2E728}"/>
    <cellStyle name="Normal 5 3 3 4 2 4" xfId="9447" xr:uid="{9CA968E3-B5D2-465C-A52D-44EBB6272C77}"/>
    <cellStyle name="Normal 5 3 3 4 3" xfId="1340" xr:uid="{00000000-0005-0000-0000-0000F2190000}"/>
    <cellStyle name="Normal 5 3 3 4 3 2" xfId="3570" xr:uid="{00000000-0005-0000-0000-0000F3190000}"/>
    <cellStyle name="Normal 5 3 3 4 3 2 2" xfId="7794" xr:uid="{00000000-0005-0000-0000-0000F4190000}"/>
    <cellStyle name="Normal 5 3 3 4 3 2 2 2" xfId="16223" xr:uid="{8A92F61C-5806-4C21-9418-CD108C550962}"/>
    <cellStyle name="Normal 5 3 3 4 3 2 3" xfId="12005" xr:uid="{F6566702-482A-4349-B3F1-218FB9CA2D7D}"/>
    <cellStyle name="Normal 5 3 3 4 3 3" xfId="5649" xr:uid="{00000000-0005-0000-0000-0000F5190000}"/>
    <cellStyle name="Normal 5 3 3 4 3 3 2" xfId="14078" xr:uid="{5DB6ED97-205C-41B4-BC56-D981DD5DE559}"/>
    <cellStyle name="Normal 5 3 3 4 3 4" xfId="9860" xr:uid="{94D4FC0F-85E8-4FCF-B5E7-9688FA983662}"/>
    <cellStyle name="Normal 5 3 3 4 4" xfId="1753" xr:uid="{00000000-0005-0000-0000-0000F6190000}"/>
    <cellStyle name="Normal 5 3 3 4 4 2" xfId="3983" xr:uid="{00000000-0005-0000-0000-0000F7190000}"/>
    <cellStyle name="Normal 5 3 3 4 4 2 2" xfId="8207" xr:uid="{00000000-0005-0000-0000-0000F8190000}"/>
    <cellStyle name="Normal 5 3 3 4 4 2 2 2" xfId="16636" xr:uid="{36724EE5-085F-4374-A9F4-F292F4688E36}"/>
    <cellStyle name="Normal 5 3 3 4 4 2 3" xfId="12418" xr:uid="{5A9D3C53-A9EA-4658-B7A3-51BF7929BE0B}"/>
    <cellStyle name="Normal 5 3 3 4 4 3" xfId="6062" xr:uid="{00000000-0005-0000-0000-0000F9190000}"/>
    <cellStyle name="Normal 5 3 3 4 4 3 2" xfId="14491" xr:uid="{B69BB70A-B7A4-472B-9282-501BEA6B766B}"/>
    <cellStyle name="Normal 5 3 3 4 4 4" xfId="10273" xr:uid="{FA868F9A-E60F-43A2-BAF8-ABD5DCBEF6BD}"/>
    <cellStyle name="Normal 5 3 3 4 5" xfId="2167" xr:uid="{00000000-0005-0000-0000-0000FA190000}"/>
    <cellStyle name="Normal 5 3 3 4 5 2" xfId="4396" xr:uid="{00000000-0005-0000-0000-0000FB190000}"/>
    <cellStyle name="Normal 5 3 3 4 5 2 2" xfId="8620" xr:uid="{00000000-0005-0000-0000-0000FC190000}"/>
    <cellStyle name="Normal 5 3 3 4 5 2 2 2" xfId="17049" xr:uid="{ED9662DB-56B5-4BF6-A312-6D389E97FA93}"/>
    <cellStyle name="Normal 5 3 3 4 5 2 3" xfId="12831" xr:uid="{BB7808FF-6FA0-4B5C-B0C7-D65FF3079C57}"/>
    <cellStyle name="Normal 5 3 3 4 5 3" xfId="6475" xr:uid="{00000000-0005-0000-0000-0000FD190000}"/>
    <cellStyle name="Normal 5 3 3 4 5 3 2" xfId="14904" xr:uid="{9DBC84A7-1D7C-47F0-B380-196A45F003C7}"/>
    <cellStyle name="Normal 5 3 3 4 5 4" xfId="10686" xr:uid="{9C2F8874-C110-4FA0-84D3-FE68E0C3853F}"/>
    <cellStyle name="Normal 5 3 3 4 6" xfId="2603" xr:uid="{00000000-0005-0000-0000-0000FE190000}"/>
    <cellStyle name="Normal 5 3 3 4 6 2" xfId="6888" xr:uid="{00000000-0005-0000-0000-0000FF190000}"/>
    <cellStyle name="Normal 5 3 3 4 6 2 2" xfId="15317" xr:uid="{B207F350-814E-440B-B802-99BE0A836C51}"/>
    <cellStyle name="Normal 5 3 3 4 6 3" xfId="11099" xr:uid="{C2F8B163-812D-46E0-B9E2-C2011D62E8F3}"/>
    <cellStyle name="Normal 5 3 3 4 7" xfId="4823" xr:uid="{00000000-0005-0000-0000-0000001A0000}"/>
    <cellStyle name="Normal 5 3 3 4 7 2" xfId="13252" xr:uid="{6E1BC80C-E8D6-407B-A514-58B9C794F903}"/>
    <cellStyle name="Normal 5 3 3 4 8" xfId="9034" xr:uid="{3D675C69-3B6E-4C6B-8F61-3426DF3AAA0E}"/>
    <cellStyle name="Normal 5 3 3 5" xfId="916" xr:uid="{00000000-0005-0000-0000-0000011A0000}"/>
    <cellStyle name="Normal 5 3 3 5 2" xfId="3150" xr:uid="{00000000-0005-0000-0000-0000021A0000}"/>
    <cellStyle name="Normal 5 3 3 5 2 2" xfId="7374" xr:uid="{00000000-0005-0000-0000-0000031A0000}"/>
    <cellStyle name="Normal 5 3 3 5 2 2 2" xfId="15803" xr:uid="{B4626C4C-8BC8-4679-A6EB-E856AF5A356F}"/>
    <cellStyle name="Normal 5 3 3 5 2 3" xfId="11585" xr:uid="{8B6FCBFC-8243-47EC-BBCE-32F61389BCEB}"/>
    <cellStyle name="Normal 5 3 3 5 3" xfId="5229" xr:uid="{00000000-0005-0000-0000-0000041A0000}"/>
    <cellStyle name="Normal 5 3 3 5 3 2" xfId="13658" xr:uid="{3A4FBDFC-BA4A-48D1-87E6-4CD90983F730}"/>
    <cellStyle name="Normal 5 3 3 5 4" xfId="9440" xr:uid="{14060A45-9F88-443F-8CE0-B754E3349B70}"/>
    <cellStyle name="Normal 5 3 3 6" xfId="1333" xr:uid="{00000000-0005-0000-0000-0000051A0000}"/>
    <cellStyle name="Normal 5 3 3 6 2" xfId="3563" xr:uid="{00000000-0005-0000-0000-0000061A0000}"/>
    <cellStyle name="Normal 5 3 3 6 2 2" xfId="7787" xr:uid="{00000000-0005-0000-0000-0000071A0000}"/>
    <cellStyle name="Normal 5 3 3 6 2 2 2" xfId="16216" xr:uid="{6CB09100-9DF1-42F1-90B2-E92A511F13CB}"/>
    <cellStyle name="Normal 5 3 3 6 2 3" xfId="11998" xr:uid="{9CB8119A-9DC5-4162-A7E2-59942684A15A}"/>
    <cellStyle name="Normal 5 3 3 6 3" xfId="5642" xr:uid="{00000000-0005-0000-0000-0000081A0000}"/>
    <cellStyle name="Normal 5 3 3 6 3 2" xfId="14071" xr:uid="{01976FB4-F0FA-460B-837C-D83BF77DA34C}"/>
    <cellStyle name="Normal 5 3 3 6 4" xfId="9853" xr:uid="{01BAFB9D-2B8A-403D-AC04-BAE1D33A65AA}"/>
    <cellStyle name="Normal 5 3 3 7" xfId="1746" xr:uid="{00000000-0005-0000-0000-0000091A0000}"/>
    <cellStyle name="Normal 5 3 3 7 2" xfId="3976" xr:uid="{00000000-0005-0000-0000-00000A1A0000}"/>
    <cellStyle name="Normal 5 3 3 7 2 2" xfId="8200" xr:uid="{00000000-0005-0000-0000-00000B1A0000}"/>
    <cellStyle name="Normal 5 3 3 7 2 2 2" xfId="16629" xr:uid="{C7115283-A6F7-4332-B4F7-ECCD79F41ED2}"/>
    <cellStyle name="Normal 5 3 3 7 2 3" xfId="12411" xr:uid="{40DFE569-DAAE-43EF-A777-19687D2F18B4}"/>
    <cellStyle name="Normal 5 3 3 7 3" xfId="6055" xr:uid="{00000000-0005-0000-0000-00000C1A0000}"/>
    <cellStyle name="Normal 5 3 3 7 3 2" xfId="14484" xr:uid="{8B779CF1-B56A-4AAE-8693-38DFF9C5E7B3}"/>
    <cellStyle name="Normal 5 3 3 7 4" xfId="10266" xr:uid="{1B9009E8-8A4A-47AE-A23E-2463FC348434}"/>
    <cellStyle name="Normal 5 3 3 8" xfId="2160" xr:uid="{00000000-0005-0000-0000-00000D1A0000}"/>
    <cellStyle name="Normal 5 3 3 8 2" xfId="4389" xr:uid="{00000000-0005-0000-0000-00000E1A0000}"/>
    <cellStyle name="Normal 5 3 3 8 2 2" xfId="8613" xr:uid="{00000000-0005-0000-0000-00000F1A0000}"/>
    <cellStyle name="Normal 5 3 3 8 2 2 2" xfId="17042" xr:uid="{FD769205-13DB-4FE9-906B-A82AA715B312}"/>
    <cellStyle name="Normal 5 3 3 8 2 3" xfId="12824" xr:uid="{FBBD6246-642C-4856-943C-70F8F8D1214D}"/>
    <cellStyle name="Normal 5 3 3 8 3" xfId="6468" xr:uid="{00000000-0005-0000-0000-0000101A0000}"/>
    <cellStyle name="Normal 5 3 3 8 3 2" xfId="14897" xr:uid="{21CAE151-8486-47DB-A170-301C0AF7305A}"/>
    <cellStyle name="Normal 5 3 3 8 4" xfId="10679" xr:uid="{4F41FA84-8304-4FD3-AECA-8FFA808608CE}"/>
    <cellStyle name="Normal 5 3 3 9" xfId="2596" xr:uid="{00000000-0005-0000-0000-0000111A0000}"/>
    <cellStyle name="Normal 5 3 3 9 2" xfId="6881" xr:uid="{00000000-0005-0000-0000-0000121A0000}"/>
    <cellStyle name="Normal 5 3 3 9 2 2" xfId="15310" xr:uid="{F9951C30-54AF-4E1E-AD57-F4894514481E}"/>
    <cellStyle name="Normal 5 3 3 9 3" xfId="11092" xr:uid="{1A57303C-9084-4A37-B98B-8DF67733997E}"/>
    <cellStyle name="Normal 5 3 4" xfId="449" xr:uid="{00000000-0005-0000-0000-0000131A0000}"/>
    <cellStyle name="Normal 5 3 4 10" xfId="9035" xr:uid="{46A72E45-D13D-4C4B-8D30-1BAB00CF591B}"/>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2 2" xfId="15813" xr:uid="{B3E897CC-305A-495D-9D74-7C1E35A24677}"/>
    <cellStyle name="Normal 5 3 4 2 2 2 2 3" xfId="11595" xr:uid="{23A77CE1-B290-4C97-888A-D62DEC2DDB17}"/>
    <cellStyle name="Normal 5 3 4 2 2 2 3" xfId="5239" xr:uid="{00000000-0005-0000-0000-0000191A0000}"/>
    <cellStyle name="Normal 5 3 4 2 2 2 3 2" xfId="13668" xr:uid="{7E0D5B79-90F7-4D94-ACE2-5ECB63E0BC63}"/>
    <cellStyle name="Normal 5 3 4 2 2 2 4" xfId="9450" xr:uid="{0030D568-812E-4058-A6CE-2351DFF1487B}"/>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2 2" xfId="16226" xr:uid="{7B6F16FA-AB68-4E41-A6F3-1C289D7176C2}"/>
    <cellStyle name="Normal 5 3 4 2 2 3 2 3" xfId="12008" xr:uid="{9A9D161D-3745-4734-8974-A39D71FDD232}"/>
    <cellStyle name="Normal 5 3 4 2 2 3 3" xfId="5652" xr:uid="{00000000-0005-0000-0000-00001D1A0000}"/>
    <cellStyle name="Normal 5 3 4 2 2 3 3 2" xfId="14081" xr:uid="{6E23AD43-8DB9-40BF-BC06-8990DF9B8F60}"/>
    <cellStyle name="Normal 5 3 4 2 2 3 4" xfId="9863" xr:uid="{13782CCD-1A28-4A88-8116-51762268B76B}"/>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2 2" xfId="16639" xr:uid="{C9A73DCB-3145-4520-A17C-F2226D9C46DB}"/>
    <cellStyle name="Normal 5 3 4 2 2 4 2 3" xfId="12421" xr:uid="{54947C27-6441-494B-AA1A-4D297EF15C1F}"/>
    <cellStyle name="Normal 5 3 4 2 2 4 3" xfId="6065" xr:uid="{00000000-0005-0000-0000-0000211A0000}"/>
    <cellStyle name="Normal 5 3 4 2 2 4 3 2" xfId="14494" xr:uid="{0C1077E5-8686-4D36-90C5-2E920877AB62}"/>
    <cellStyle name="Normal 5 3 4 2 2 4 4" xfId="10276" xr:uid="{13F25891-95FB-4490-B9A6-0881B5A72F7E}"/>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2 2" xfId="17052" xr:uid="{581923C4-F3A8-4901-BDA0-226332B8A51E}"/>
    <cellStyle name="Normal 5 3 4 2 2 5 2 3" xfId="12834" xr:uid="{766CEB61-DC31-4E26-8A4B-2601F757ECEC}"/>
    <cellStyle name="Normal 5 3 4 2 2 5 3" xfId="6478" xr:uid="{00000000-0005-0000-0000-0000251A0000}"/>
    <cellStyle name="Normal 5 3 4 2 2 5 3 2" xfId="14907" xr:uid="{25A5FAC5-B5AE-4212-95BA-867499BE42F6}"/>
    <cellStyle name="Normal 5 3 4 2 2 5 4" xfId="10689" xr:uid="{15013028-1922-4547-B06D-9B349A842156}"/>
    <cellStyle name="Normal 5 3 4 2 2 6" xfId="2606" xr:uid="{00000000-0005-0000-0000-0000261A0000}"/>
    <cellStyle name="Normal 5 3 4 2 2 6 2" xfId="6891" xr:uid="{00000000-0005-0000-0000-0000271A0000}"/>
    <cellStyle name="Normal 5 3 4 2 2 6 2 2" xfId="15320" xr:uid="{9397C765-5A0F-4E4F-A995-B07E3CF7C552}"/>
    <cellStyle name="Normal 5 3 4 2 2 6 3" xfId="11102" xr:uid="{A9332A04-282F-436C-B4AC-F07CE15535A6}"/>
    <cellStyle name="Normal 5 3 4 2 2 7" xfId="4826" xr:uid="{00000000-0005-0000-0000-0000281A0000}"/>
    <cellStyle name="Normal 5 3 4 2 2 7 2" xfId="13255" xr:uid="{D4D6528E-6F1F-4182-8A44-32E087327871}"/>
    <cellStyle name="Normal 5 3 4 2 2 8" xfId="9037" xr:uid="{ABE0C7D7-9F01-42E2-8B72-E39E3B51CB6F}"/>
    <cellStyle name="Normal 5 3 4 2 3" xfId="925" xr:uid="{00000000-0005-0000-0000-0000291A0000}"/>
    <cellStyle name="Normal 5 3 4 2 3 2" xfId="3159" xr:uid="{00000000-0005-0000-0000-00002A1A0000}"/>
    <cellStyle name="Normal 5 3 4 2 3 2 2" xfId="7383" xr:uid="{00000000-0005-0000-0000-00002B1A0000}"/>
    <cellStyle name="Normal 5 3 4 2 3 2 2 2" xfId="15812" xr:uid="{03DA3C3B-10CA-4806-8792-86DB6FD79EE4}"/>
    <cellStyle name="Normal 5 3 4 2 3 2 3" xfId="11594" xr:uid="{79240302-478A-4F05-AA5C-A11FE9CB4C24}"/>
    <cellStyle name="Normal 5 3 4 2 3 3" xfId="5238" xr:uid="{00000000-0005-0000-0000-00002C1A0000}"/>
    <cellStyle name="Normal 5 3 4 2 3 3 2" xfId="13667" xr:uid="{C3FF62F7-5C93-497E-9F10-F683EC4A0D34}"/>
    <cellStyle name="Normal 5 3 4 2 3 4" xfId="9449" xr:uid="{384F9388-2E5C-4E56-84D2-2AF92F3371C5}"/>
    <cellStyle name="Normal 5 3 4 2 4" xfId="1342" xr:uid="{00000000-0005-0000-0000-00002D1A0000}"/>
    <cellStyle name="Normal 5 3 4 2 4 2" xfId="3572" xr:uid="{00000000-0005-0000-0000-00002E1A0000}"/>
    <cellStyle name="Normal 5 3 4 2 4 2 2" xfId="7796" xr:uid="{00000000-0005-0000-0000-00002F1A0000}"/>
    <cellStyle name="Normal 5 3 4 2 4 2 2 2" xfId="16225" xr:uid="{C4FD805B-DE34-4952-A3C5-CEAA58FA8238}"/>
    <cellStyle name="Normal 5 3 4 2 4 2 3" xfId="12007" xr:uid="{48585E29-7659-4E6A-BCD9-E94CE5079414}"/>
    <cellStyle name="Normal 5 3 4 2 4 3" xfId="5651" xr:uid="{00000000-0005-0000-0000-0000301A0000}"/>
    <cellStyle name="Normal 5 3 4 2 4 3 2" xfId="14080" xr:uid="{AD5CC48E-DA02-4036-AB92-674FB9C26429}"/>
    <cellStyle name="Normal 5 3 4 2 4 4" xfId="9862" xr:uid="{3B9DBFC5-E55C-4BDF-8AC1-783F4008A759}"/>
    <cellStyle name="Normal 5 3 4 2 5" xfId="1755" xr:uid="{00000000-0005-0000-0000-0000311A0000}"/>
    <cellStyle name="Normal 5 3 4 2 5 2" xfId="3985" xr:uid="{00000000-0005-0000-0000-0000321A0000}"/>
    <cellStyle name="Normal 5 3 4 2 5 2 2" xfId="8209" xr:uid="{00000000-0005-0000-0000-0000331A0000}"/>
    <cellStyle name="Normal 5 3 4 2 5 2 2 2" xfId="16638" xr:uid="{ECD41A5E-0CAA-4ABC-99D7-14A267C57D3C}"/>
    <cellStyle name="Normal 5 3 4 2 5 2 3" xfId="12420" xr:uid="{8281E217-0CC9-40FF-ADEC-53AA2B1FA1B3}"/>
    <cellStyle name="Normal 5 3 4 2 5 3" xfId="6064" xr:uid="{00000000-0005-0000-0000-0000341A0000}"/>
    <cellStyle name="Normal 5 3 4 2 5 3 2" xfId="14493" xr:uid="{9C2DAA39-6812-4F15-9D29-2956B851CAD1}"/>
    <cellStyle name="Normal 5 3 4 2 5 4" xfId="10275" xr:uid="{B8059481-C4AB-4013-A774-32A76966027D}"/>
    <cellStyle name="Normal 5 3 4 2 6" xfId="2169" xr:uid="{00000000-0005-0000-0000-0000351A0000}"/>
    <cellStyle name="Normal 5 3 4 2 6 2" xfId="4398" xr:uid="{00000000-0005-0000-0000-0000361A0000}"/>
    <cellStyle name="Normal 5 3 4 2 6 2 2" xfId="8622" xr:uid="{00000000-0005-0000-0000-0000371A0000}"/>
    <cellStyle name="Normal 5 3 4 2 6 2 2 2" xfId="17051" xr:uid="{2A7C394B-A267-4DFE-861D-4FE3131CBFE2}"/>
    <cellStyle name="Normal 5 3 4 2 6 2 3" xfId="12833" xr:uid="{81B73F84-0522-4EEF-AFC4-9D0BDC80E797}"/>
    <cellStyle name="Normal 5 3 4 2 6 3" xfId="6477" xr:uid="{00000000-0005-0000-0000-0000381A0000}"/>
    <cellStyle name="Normal 5 3 4 2 6 3 2" xfId="14906" xr:uid="{1DA49E95-C16E-4975-90CC-548727F966C5}"/>
    <cellStyle name="Normal 5 3 4 2 6 4" xfId="10688" xr:uid="{3B19A9D0-A3B5-4848-AC2E-05455E77CD3B}"/>
    <cellStyle name="Normal 5 3 4 2 7" xfId="2605" xr:uid="{00000000-0005-0000-0000-0000391A0000}"/>
    <cellStyle name="Normal 5 3 4 2 7 2" xfId="6890" xr:uid="{00000000-0005-0000-0000-00003A1A0000}"/>
    <cellStyle name="Normal 5 3 4 2 7 2 2" xfId="15319" xr:uid="{D82ED95A-1565-40D2-B792-3808D27C6915}"/>
    <cellStyle name="Normal 5 3 4 2 7 3" xfId="11101" xr:uid="{AA03D1AE-8240-4AF3-998D-2E46568E34F9}"/>
    <cellStyle name="Normal 5 3 4 2 8" xfId="4825" xr:uid="{00000000-0005-0000-0000-00003B1A0000}"/>
    <cellStyle name="Normal 5 3 4 2 8 2" xfId="13254" xr:uid="{08599E60-8813-44B3-80AC-98CD62F769A8}"/>
    <cellStyle name="Normal 5 3 4 2 9" xfId="9036" xr:uid="{61649A9B-8FCC-4A75-AC69-5EE5E6C5B408}"/>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2 2" xfId="15814" xr:uid="{3A2F4137-13CD-4650-B648-0E35EB85A318}"/>
    <cellStyle name="Normal 5 3 4 3 2 2 3" xfId="11596" xr:uid="{8C888D70-115E-44CF-9383-5306B8237B1E}"/>
    <cellStyle name="Normal 5 3 4 3 2 3" xfId="5240" xr:uid="{00000000-0005-0000-0000-0000401A0000}"/>
    <cellStyle name="Normal 5 3 4 3 2 3 2" xfId="13669" xr:uid="{EB12C182-0D58-4F9E-9697-1AE62926BB0F}"/>
    <cellStyle name="Normal 5 3 4 3 2 4" xfId="9451" xr:uid="{2B1941B5-F931-49C5-8221-7409FC3C03DD}"/>
    <cellStyle name="Normal 5 3 4 3 3" xfId="1344" xr:uid="{00000000-0005-0000-0000-0000411A0000}"/>
    <cellStyle name="Normal 5 3 4 3 3 2" xfId="3574" xr:uid="{00000000-0005-0000-0000-0000421A0000}"/>
    <cellStyle name="Normal 5 3 4 3 3 2 2" xfId="7798" xr:uid="{00000000-0005-0000-0000-0000431A0000}"/>
    <cellStyle name="Normal 5 3 4 3 3 2 2 2" xfId="16227" xr:uid="{F92D1C1E-13B6-4162-883E-A4D7EA258469}"/>
    <cellStyle name="Normal 5 3 4 3 3 2 3" xfId="12009" xr:uid="{3BE28C77-4C05-43CF-843C-DC0BD84C1B77}"/>
    <cellStyle name="Normal 5 3 4 3 3 3" xfId="5653" xr:uid="{00000000-0005-0000-0000-0000441A0000}"/>
    <cellStyle name="Normal 5 3 4 3 3 3 2" xfId="14082" xr:uid="{C128BD8B-7D59-4655-8825-88BDAACBFAD9}"/>
    <cellStyle name="Normal 5 3 4 3 3 4" xfId="9864" xr:uid="{EAB1BE5E-C2BE-4CD8-BE05-91F107685FA5}"/>
    <cellStyle name="Normal 5 3 4 3 4" xfId="1757" xr:uid="{00000000-0005-0000-0000-0000451A0000}"/>
    <cellStyle name="Normal 5 3 4 3 4 2" xfId="3987" xr:uid="{00000000-0005-0000-0000-0000461A0000}"/>
    <cellStyle name="Normal 5 3 4 3 4 2 2" xfId="8211" xr:uid="{00000000-0005-0000-0000-0000471A0000}"/>
    <cellStyle name="Normal 5 3 4 3 4 2 2 2" xfId="16640" xr:uid="{20C4ED08-181D-4834-9147-992919496AD4}"/>
    <cellStyle name="Normal 5 3 4 3 4 2 3" xfId="12422" xr:uid="{661083C0-3486-463E-985C-09F1930A9EAE}"/>
    <cellStyle name="Normal 5 3 4 3 4 3" xfId="6066" xr:uid="{00000000-0005-0000-0000-0000481A0000}"/>
    <cellStyle name="Normal 5 3 4 3 4 3 2" xfId="14495" xr:uid="{95C54F3A-409A-4FB3-A04F-441F56289EDB}"/>
    <cellStyle name="Normal 5 3 4 3 4 4" xfId="10277" xr:uid="{9F57F087-14BD-40C1-9204-E01C28609369}"/>
    <cellStyle name="Normal 5 3 4 3 5" xfId="2171" xr:uid="{00000000-0005-0000-0000-0000491A0000}"/>
    <cellStyle name="Normal 5 3 4 3 5 2" xfId="4400" xr:uid="{00000000-0005-0000-0000-00004A1A0000}"/>
    <cellStyle name="Normal 5 3 4 3 5 2 2" xfId="8624" xr:uid="{00000000-0005-0000-0000-00004B1A0000}"/>
    <cellStyle name="Normal 5 3 4 3 5 2 2 2" xfId="17053" xr:uid="{28D38E05-6EEF-4F5C-B722-13B3C57E8B23}"/>
    <cellStyle name="Normal 5 3 4 3 5 2 3" xfId="12835" xr:uid="{397686CD-B9AB-4473-80E7-EEF5E559F82D}"/>
    <cellStyle name="Normal 5 3 4 3 5 3" xfId="6479" xr:uid="{00000000-0005-0000-0000-00004C1A0000}"/>
    <cellStyle name="Normal 5 3 4 3 5 3 2" xfId="14908" xr:uid="{F4CDE4B5-40D9-42C0-947E-D9551E966E77}"/>
    <cellStyle name="Normal 5 3 4 3 5 4" xfId="10690" xr:uid="{C724271B-82EC-4886-85F9-5F3EEDA0A98B}"/>
    <cellStyle name="Normal 5 3 4 3 6" xfId="2607" xr:uid="{00000000-0005-0000-0000-00004D1A0000}"/>
    <cellStyle name="Normal 5 3 4 3 6 2" xfId="6892" xr:uid="{00000000-0005-0000-0000-00004E1A0000}"/>
    <cellStyle name="Normal 5 3 4 3 6 2 2" xfId="15321" xr:uid="{AEAE1D2A-170C-410A-8915-CC1D6202B649}"/>
    <cellStyle name="Normal 5 3 4 3 6 3" xfId="11103" xr:uid="{BFD7D1C5-D000-4723-B57C-82FE71485127}"/>
    <cellStyle name="Normal 5 3 4 3 7" xfId="4827" xr:uid="{00000000-0005-0000-0000-00004F1A0000}"/>
    <cellStyle name="Normal 5 3 4 3 7 2" xfId="13256" xr:uid="{64734192-CC45-4BCD-8857-06E36A1D0038}"/>
    <cellStyle name="Normal 5 3 4 3 8" xfId="9038" xr:uid="{790C6338-19D2-406E-B2E5-F1F5CDB9AB6F}"/>
    <cellStyle name="Normal 5 3 4 4" xfId="924" xr:uid="{00000000-0005-0000-0000-0000501A0000}"/>
    <cellStyle name="Normal 5 3 4 4 2" xfId="3158" xr:uid="{00000000-0005-0000-0000-0000511A0000}"/>
    <cellStyle name="Normal 5 3 4 4 2 2" xfId="7382" xr:uid="{00000000-0005-0000-0000-0000521A0000}"/>
    <cellStyle name="Normal 5 3 4 4 2 2 2" xfId="15811" xr:uid="{D0E44358-2DB5-4A49-B273-3FC26B35E0B1}"/>
    <cellStyle name="Normal 5 3 4 4 2 3" xfId="11593" xr:uid="{0E01BBD0-D387-4C16-B753-3C8BED75C379}"/>
    <cellStyle name="Normal 5 3 4 4 3" xfId="5237" xr:uid="{00000000-0005-0000-0000-0000531A0000}"/>
    <cellStyle name="Normal 5 3 4 4 3 2" xfId="13666" xr:uid="{2C48DD24-805B-48EE-81F3-7ED4BCC11055}"/>
    <cellStyle name="Normal 5 3 4 4 4" xfId="9448" xr:uid="{2AAC5BC3-5724-431E-A8F5-1BE286A8BACA}"/>
    <cellStyle name="Normal 5 3 4 5" xfId="1341" xr:uid="{00000000-0005-0000-0000-0000541A0000}"/>
    <cellStyle name="Normal 5 3 4 5 2" xfId="3571" xr:uid="{00000000-0005-0000-0000-0000551A0000}"/>
    <cellStyle name="Normal 5 3 4 5 2 2" xfId="7795" xr:uid="{00000000-0005-0000-0000-0000561A0000}"/>
    <cellStyle name="Normal 5 3 4 5 2 2 2" xfId="16224" xr:uid="{B393EC6C-C5C8-4772-9986-33A30EA0D256}"/>
    <cellStyle name="Normal 5 3 4 5 2 3" xfId="12006" xr:uid="{545567B2-E7A0-4DCE-960F-F5CAC5662A01}"/>
    <cellStyle name="Normal 5 3 4 5 3" xfId="5650" xr:uid="{00000000-0005-0000-0000-0000571A0000}"/>
    <cellStyle name="Normal 5 3 4 5 3 2" xfId="14079" xr:uid="{E4E5E22F-50F8-4BCA-BCE9-510C73A2FC8D}"/>
    <cellStyle name="Normal 5 3 4 5 4" xfId="9861" xr:uid="{8FF18C92-BB20-4CDF-B916-1DBB4308DE0C}"/>
    <cellStyle name="Normal 5 3 4 6" xfId="1754" xr:uid="{00000000-0005-0000-0000-0000581A0000}"/>
    <cellStyle name="Normal 5 3 4 6 2" xfId="3984" xr:uid="{00000000-0005-0000-0000-0000591A0000}"/>
    <cellStyle name="Normal 5 3 4 6 2 2" xfId="8208" xr:uid="{00000000-0005-0000-0000-00005A1A0000}"/>
    <cellStyle name="Normal 5 3 4 6 2 2 2" xfId="16637" xr:uid="{818C8FE6-7B2A-46C0-B037-EAF1708D2945}"/>
    <cellStyle name="Normal 5 3 4 6 2 3" xfId="12419" xr:uid="{4CED1CB9-4922-48C0-94BA-FAD65FF2985B}"/>
    <cellStyle name="Normal 5 3 4 6 3" xfId="6063" xr:uid="{00000000-0005-0000-0000-00005B1A0000}"/>
    <cellStyle name="Normal 5 3 4 6 3 2" xfId="14492" xr:uid="{DED9BF5A-C225-431F-9B6F-CFD5E9C9E6DD}"/>
    <cellStyle name="Normal 5 3 4 6 4" xfId="10274" xr:uid="{7C98986A-2377-41E0-AFFE-C21D8368728A}"/>
    <cellStyle name="Normal 5 3 4 7" xfId="2168" xr:uid="{00000000-0005-0000-0000-00005C1A0000}"/>
    <cellStyle name="Normal 5 3 4 7 2" xfId="4397" xr:uid="{00000000-0005-0000-0000-00005D1A0000}"/>
    <cellStyle name="Normal 5 3 4 7 2 2" xfId="8621" xr:uid="{00000000-0005-0000-0000-00005E1A0000}"/>
    <cellStyle name="Normal 5 3 4 7 2 2 2" xfId="17050" xr:uid="{3254376F-C6B1-4926-B53B-4CB9153DD3CE}"/>
    <cellStyle name="Normal 5 3 4 7 2 3" xfId="12832" xr:uid="{CAB77714-82BE-458E-8B66-E34948132CEC}"/>
    <cellStyle name="Normal 5 3 4 7 3" xfId="6476" xr:uid="{00000000-0005-0000-0000-00005F1A0000}"/>
    <cellStyle name="Normal 5 3 4 7 3 2" xfId="14905" xr:uid="{477F6178-D3FC-436A-8A73-260E100AEF3B}"/>
    <cellStyle name="Normal 5 3 4 7 4" xfId="10687" xr:uid="{578490E9-4BFA-437A-AD91-6B5FC637A3DA}"/>
    <cellStyle name="Normal 5 3 4 8" xfId="2604" xr:uid="{00000000-0005-0000-0000-0000601A0000}"/>
    <cellStyle name="Normal 5 3 4 8 2" xfId="6889" xr:uid="{00000000-0005-0000-0000-0000611A0000}"/>
    <cellStyle name="Normal 5 3 4 8 2 2" xfId="15318" xr:uid="{2CD3E8B9-13FE-45C5-B3E3-C8AEEE3CC779}"/>
    <cellStyle name="Normal 5 3 4 8 3" xfId="11100" xr:uid="{31E2998E-5704-4C67-BE0D-FAC23215A563}"/>
    <cellStyle name="Normal 5 3 4 9" xfId="4824" xr:uid="{00000000-0005-0000-0000-0000621A0000}"/>
    <cellStyle name="Normal 5 3 4 9 2" xfId="13253" xr:uid="{17DCEC64-B3BE-4A86-9643-E828A99AF95B}"/>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2 2" xfId="15816" xr:uid="{AD492B53-0A95-4683-9338-3523C6968C90}"/>
    <cellStyle name="Normal 5 3 5 2 2 2 3" xfId="11598" xr:uid="{AA9D8F6F-0A68-4B34-B05D-DB86C0EC26E0}"/>
    <cellStyle name="Normal 5 3 5 2 2 3" xfId="5242" xr:uid="{00000000-0005-0000-0000-0000681A0000}"/>
    <cellStyle name="Normal 5 3 5 2 2 3 2" xfId="13671" xr:uid="{B9ED0A5D-8B76-4414-8E0C-794137940BAB}"/>
    <cellStyle name="Normal 5 3 5 2 2 4" xfId="9453" xr:uid="{1C3D7F0F-9012-47AB-B9BF-022B708AA609}"/>
    <cellStyle name="Normal 5 3 5 2 3" xfId="1346" xr:uid="{00000000-0005-0000-0000-0000691A0000}"/>
    <cellStyle name="Normal 5 3 5 2 3 2" xfId="3576" xr:uid="{00000000-0005-0000-0000-00006A1A0000}"/>
    <cellStyle name="Normal 5 3 5 2 3 2 2" xfId="7800" xr:uid="{00000000-0005-0000-0000-00006B1A0000}"/>
    <cellStyle name="Normal 5 3 5 2 3 2 2 2" xfId="16229" xr:uid="{9C8AB144-F0FE-4517-9D75-93472FDD51FA}"/>
    <cellStyle name="Normal 5 3 5 2 3 2 3" xfId="12011" xr:uid="{3CCAF8A3-9326-43D6-BA77-FE86DB50D775}"/>
    <cellStyle name="Normal 5 3 5 2 3 3" xfId="5655" xr:uid="{00000000-0005-0000-0000-00006C1A0000}"/>
    <cellStyle name="Normal 5 3 5 2 3 3 2" xfId="14084" xr:uid="{C82BDA55-F3E0-462E-BC65-FD5C188AF165}"/>
    <cellStyle name="Normal 5 3 5 2 3 4" xfId="9866" xr:uid="{B3458DC3-8F1B-40B5-BF5A-A648207A0C1E}"/>
    <cellStyle name="Normal 5 3 5 2 4" xfId="1759" xr:uid="{00000000-0005-0000-0000-00006D1A0000}"/>
    <cellStyle name="Normal 5 3 5 2 4 2" xfId="3989" xr:uid="{00000000-0005-0000-0000-00006E1A0000}"/>
    <cellStyle name="Normal 5 3 5 2 4 2 2" xfId="8213" xr:uid="{00000000-0005-0000-0000-00006F1A0000}"/>
    <cellStyle name="Normal 5 3 5 2 4 2 2 2" xfId="16642" xr:uid="{8EDB8E1B-260B-456E-A7FD-9B800EE29E1B}"/>
    <cellStyle name="Normal 5 3 5 2 4 2 3" xfId="12424" xr:uid="{AE816660-239D-4FAB-A8F3-F531BB37C6D9}"/>
    <cellStyle name="Normal 5 3 5 2 4 3" xfId="6068" xr:uid="{00000000-0005-0000-0000-0000701A0000}"/>
    <cellStyle name="Normal 5 3 5 2 4 3 2" xfId="14497" xr:uid="{44DB725D-3207-40A4-82D9-8C9F31468BE6}"/>
    <cellStyle name="Normal 5 3 5 2 4 4" xfId="10279" xr:uid="{08A622CF-BC62-45E3-9306-44C04F972271}"/>
    <cellStyle name="Normal 5 3 5 2 5" xfId="2173" xr:uid="{00000000-0005-0000-0000-0000711A0000}"/>
    <cellStyle name="Normal 5 3 5 2 5 2" xfId="4402" xr:uid="{00000000-0005-0000-0000-0000721A0000}"/>
    <cellStyle name="Normal 5 3 5 2 5 2 2" xfId="8626" xr:uid="{00000000-0005-0000-0000-0000731A0000}"/>
    <cellStyle name="Normal 5 3 5 2 5 2 2 2" xfId="17055" xr:uid="{0BD4017F-A62C-4CEC-BAD8-5F7CC12EA8D6}"/>
    <cellStyle name="Normal 5 3 5 2 5 2 3" xfId="12837" xr:uid="{617632F3-36B4-4CBA-A707-3546A048ABD0}"/>
    <cellStyle name="Normal 5 3 5 2 5 3" xfId="6481" xr:uid="{00000000-0005-0000-0000-0000741A0000}"/>
    <cellStyle name="Normal 5 3 5 2 5 3 2" xfId="14910" xr:uid="{405C35B8-37D8-4846-B0B9-CC521A9BCBEA}"/>
    <cellStyle name="Normal 5 3 5 2 5 4" xfId="10692" xr:uid="{B183BD3B-1D96-42FA-A9BB-5A3620CF1F36}"/>
    <cellStyle name="Normal 5 3 5 2 6" xfId="2609" xr:uid="{00000000-0005-0000-0000-0000751A0000}"/>
    <cellStyle name="Normal 5 3 5 2 6 2" xfId="6894" xr:uid="{00000000-0005-0000-0000-0000761A0000}"/>
    <cellStyle name="Normal 5 3 5 2 6 2 2" xfId="15323" xr:uid="{ABC44997-B664-45A4-9296-CD097E47F838}"/>
    <cellStyle name="Normal 5 3 5 2 6 3" xfId="11105" xr:uid="{04071045-2FE7-4E57-AAE5-736CFDB9F64E}"/>
    <cellStyle name="Normal 5 3 5 2 7" xfId="4829" xr:uid="{00000000-0005-0000-0000-0000771A0000}"/>
    <cellStyle name="Normal 5 3 5 2 7 2" xfId="13258" xr:uid="{AD549538-B81A-4671-AADF-03CF3CBD0864}"/>
    <cellStyle name="Normal 5 3 5 2 8" xfId="9040" xr:uid="{02941DC2-1194-4F16-8B78-520CB8BA4DD6}"/>
    <cellStyle name="Normal 5 3 5 3" xfId="928" xr:uid="{00000000-0005-0000-0000-0000781A0000}"/>
    <cellStyle name="Normal 5 3 5 3 2" xfId="3162" xr:uid="{00000000-0005-0000-0000-0000791A0000}"/>
    <cellStyle name="Normal 5 3 5 3 2 2" xfId="7386" xr:uid="{00000000-0005-0000-0000-00007A1A0000}"/>
    <cellStyle name="Normal 5 3 5 3 2 2 2" xfId="15815" xr:uid="{8108E8ED-C41E-4AFF-BA76-3A69BB743CF7}"/>
    <cellStyle name="Normal 5 3 5 3 2 3" xfId="11597" xr:uid="{84A921F8-75FA-434E-A4D7-66E47A76C62B}"/>
    <cellStyle name="Normal 5 3 5 3 3" xfId="5241" xr:uid="{00000000-0005-0000-0000-00007B1A0000}"/>
    <cellStyle name="Normal 5 3 5 3 3 2" xfId="13670" xr:uid="{148E8D00-A3E9-4DDB-95A0-6C667920B2C4}"/>
    <cellStyle name="Normal 5 3 5 3 4" xfId="9452" xr:uid="{05458F66-50BE-4D61-9FAC-7853156D374F}"/>
    <cellStyle name="Normal 5 3 5 4" xfId="1345" xr:uid="{00000000-0005-0000-0000-00007C1A0000}"/>
    <cellStyle name="Normal 5 3 5 4 2" xfId="3575" xr:uid="{00000000-0005-0000-0000-00007D1A0000}"/>
    <cellStyle name="Normal 5 3 5 4 2 2" xfId="7799" xr:uid="{00000000-0005-0000-0000-00007E1A0000}"/>
    <cellStyle name="Normal 5 3 5 4 2 2 2" xfId="16228" xr:uid="{13CC4310-B253-422A-8372-94FCC59CE454}"/>
    <cellStyle name="Normal 5 3 5 4 2 3" xfId="12010" xr:uid="{56B0BC3A-458D-48D1-A9B3-BA2C029C1EB6}"/>
    <cellStyle name="Normal 5 3 5 4 3" xfId="5654" xr:uid="{00000000-0005-0000-0000-00007F1A0000}"/>
    <cellStyle name="Normal 5 3 5 4 3 2" xfId="14083" xr:uid="{A7396C45-B6F6-4C1F-914B-D7889BA8CA4D}"/>
    <cellStyle name="Normal 5 3 5 4 4" xfId="9865" xr:uid="{0B64B841-50AC-4203-B394-020308E95631}"/>
    <cellStyle name="Normal 5 3 5 5" xfId="1758" xr:uid="{00000000-0005-0000-0000-0000801A0000}"/>
    <cellStyle name="Normal 5 3 5 5 2" xfId="3988" xr:uid="{00000000-0005-0000-0000-0000811A0000}"/>
    <cellStyle name="Normal 5 3 5 5 2 2" xfId="8212" xr:uid="{00000000-0005-0000-0000-0000821A0000}"/>
    <cellStyle name="Normal 5 3 5 5 2 2 2" xfId="16641" xr:uid="{784848FF-F468-4A59-AD28-1F7339964503}"/>
    <cellStyle name="Normal 5 3 5 5 2 3" xfId="12423" xr:uid="{5A0BEC98-9F89-40D2-B9C9-ACB40325982D}"/>
    <cellStyle name="Normal 5 3 5 5 3" xfId="6067" xr:uid="{00000000-0005-0000-0000-0000831A0000}"/>
    <cellStyle name="Normal 5 3 5 5 3 2" xfId="14496" xr:uid="{41F06151-5586-45D0-8A05-F5D2B6F08106}"/>
    <cellStyle name="Normal 5 3 5 5 4" xfId="10278" xr:uid="{A2F4D271-F1C6-4802-995A-1D3F650FB11B}"/>
    <cellStyle name="Normal 5 3 5 6" xfId="2172" xr:uid="{00000000-0005-0000-0000-0000841A0000}"/>
    <cellStyle name="Normal 5 3 5 6 2" xfId="4401" xr:uid="{00000000-0005-0000-0000-0000851A0000}"/>
    <cellStyle name="Normal 5 3 5 6 2 2" xfId="8625" xr:uid="{00000000-0005-0000-0000-0000861A0000}"/>
    <cellStyle name="Normal 5 3 5 6 2 2 2" xfId="17054" xr:uid="{D63FD7AB-1E4C-40A7-B9DB-A6BF902AB871}"/>
    <cellStyle name="Normal 5 3 5 6 2 3" xfId="12836" xr:uid="{FF17D0C7-02E3-4FBF-B4C2-47383774690B}"/>
    <cellStyle name="Normal 5 3 5 6 3" xfId="6480" xr:uid="{00000000-0005-0000-0000-0000871A0000}"/>
    <cellStyle name="Normal 5 3 5 6 3 2" xfId="14909" xr:uid="{AB047FD0-A72E-44C3-B84B-A964B6EF638F}"/>
    <cellStyle name="Normal 5 3 5 6 4" xfId="10691" xr:uid="{BEF8DFFA-9F6E-4F5E-8D46-40EBCF0563EB}"/>
    <cellStyle name="Normal 5 3 5 7" xfId="2608" xr:uid="{00000000-0005-0000-0000-0000881A0000}"/>
    <cellStyle name="Normal 5 3 5 7 2" xfId="6893" xr:uid="{00000000-0005-0000-0000-0000891A0000}"/>
    <cellStyle name="Normal 5 3 5 7 2 2" xfId="15322" xr:uid="{D6BB1BF0-026F-48CB-B72D-A184851F3469}"/>
    <cellStyle name="Normal 5 3 5 7 3" xfId="11104" xr:uid="{666C252C-0AED-4B87-8582-4439FAC44B7B}"/>
    <cellStyle name="Normal 5 3 5 8" xfId="4828" xr:uid="{00000000-0005-0000-0000-00008A1A0000}"/>
    <cellStyle name="Normal 5 3 5 8 2" xfId="13257" xr:uid="{50F10D20-4B31-4C66-964C-B3B68A79BAA1}"/>
    <cellStyle name="Normal 5 3 5 9" xfId="9039" xr:uid="{9C896DCF-6791-4DEE-9040-B1804315410C}"/>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2 2" xfId="15817" xr:uid="{F71CC4EA-EF65-4E7C-B46A-1F88A022427A}"/>
    <cellStyle name="Normal 5 3 6 2 2 3" xfId="11599" xr:uid="{0ACDB371-AF25-4C1B-991D-39B8A6875556}"/>
    <cellStyle name="Normal 5 3 6 2 3" xfId="5243" xr:uid="{00000000-0005-0000-0000-00008F1A0000}"/>
    <cellStyle name="Normal 5 3 6 2 3 2" xfId="13672" xr:uid="{6EFC6A9F-ED54-4F62-81B4-CA84B080E724}"/>
    <cellStyle name="Normal 5 3 6 2 4" xfId="9454" xr:uid="{0DF531A3-11DC-45CE-9768-3F04990E0EEA}"/>
    <cellStyle name="Normal 5 3 6 3" xfId="1347" xr:uid="{00000000-0005-0000-0000-0000901A0000}"/>
    <cellStyle name="Normal 5 3 6 3 2" xfId="3577" xr:uid="{00000000-0005-0000-0000-0000911A0000}"/>
    <cellStyle name="Normal 5 3 6 3 2 2" xfId="7801" xr:uid="{00000000-0005-0000-0000-0000921A0000}"/>
    <cellStyle name="Normal 5 3 6 3 2 2 2" xfId="16230" xr:uid="{54A71DF4-871E-4254-8582-5C8AA324D59B}"/>
    <cellStyle name="Normal 5 3 6 3 2 3" xfId="12012" xr:uid="{742FB9B2-38FA-421D-987F-E85E2DD04F07}"/>
    <cellStyle name="Normal 5 3 6 3 3" xfId="5656" xr:uid="{00000000-0005-0000-0000-0000931A0000}"/>
    <cellStyle name="Normal 5 3 6 3 3 2" xfId="14085" xr:uid="{9FDD85EF-7198-4E68-90B0-C9C295765D3C}"/>
    <cellStyle name="Normal 5 3 6 3 4" xfId="9867" xr:uid="{A9C0AF06-4062-4CC7-AE33-E9E8F8E6A90C}"/>
    <cellStyle name="Normal 5 3 6 4" xfId="1760" xr:uid="{00000000-0005-0000-0000-0000941A0000}"/>
    <cellStyle name="Normal 5 3 6 4 2" xfId="3990" xr:uid="{00000000-0005-0000-0000-0000951A0000}"/>
    <cellStyle name="Normal 5 3 6 4 2 2" xfId="8214" xr:uid="{00000000-0005-0000-0000-0000961A0000}"/>
    <cellStyle name="Normal 5 3 6 4 2 2 2" xfId="16643" xr:uid="{E2DB6AC6-A780-447A-9EBC-92FA5CE84D14}"/>
    <cellStyle name="Normal 5 3 6 4 2 3" xfId="12425" xr:uid="{E78DDB13-F520-4946-9E6C-C7079F6E790E}"/>
    <cellStyle name="Normal 5 3 6 4 3" xfId="6069" xr:uid="{00000000-0005-0000-0000-0000971A0000}"/>
    <cellStyle name="Normal 5 3 6 4 3 2" xfId="14498" xr:uid="{2BB6BF7C-9CF8-4DA2-866C-32E7F437AA39}"/>
    <cellStyle name="Normal 5 3 6 4 4" xfId="10280" xr:uid="{15015D88-B0D6-4746-961B-649BBF2CCA73}"/>
    <cellStyle name="Normal 5 3 6 5" xfId="2174" xr:uid="{00000000-0005-0000-0000-0000981A0000}"/>
    <cellStyle name="Normal 5 3 6 5 2" xfId="4403" xr:uid="{00000000-0005-0000-0000-0000991A0000}"/>
    <cellStyle name="Normal 5 3 6 5 2 2" xfId="8627" xr:uid="{00000000-0005-0000-0000-00009A1A0000}"/>
    <cellStyle name="Normal 5 3 6 5 2 2 2" xfId="17056" xr:uid="{879163CC-A1CD-422D-8C89-9158B62D0E9B}"/>
    <cellStyle name="Normal 5 3 6 5 2 3" xfId="12838" xr:uid="{220E0DAE-2B30-4B5E-9AA1-D3BEFF0751DC}"/>
    <cellStyle name="Normal 5 3 6 5 3" xfId="6482" xr:uid="{00000000-0005-0000-0000-00009B1A0000}"/>
    <cellStyle name="Normal 5 3 6 5 3 2" xfId="14911" xr:uid="{30DB8413-DC93-4071-A2AF-0B2E70D36864}"/>
    <cellStyle name="Normal 5 3 6 5 4" xfId="10693" xr:uid="{E1A78837-8112-4EE6-8FC4-974E8A0DBF83}"/>
    <cellStyle name="Normal 5 3 6 6" xfId="2610" xr:uid="{00000000-0005-0000-0000-00009C1A0000}"/>
    <cellStyle name="Normal 5 3 6 6 2" xfId="6895" xr:uid="{00000000-0005-0000-0000-00009D1A0000}"/>
    <cellStyle name="Normal 5 3 6 6 2 2" xfId="15324" xr:uid="{34460D73-D028-4E03-B499-E7F40CFCA2A7}"/>
    <cellStyle name="Normal 5 3 6 6 3" xfId="11106" xr:uid="{7838C873-0364-4353-9A38-0BDA16078DC2}"/>
    <cellStyle name="Normal 5 3 6 7" xfId="4830" xr:uid="{00000000-0005-0000-0000-00009E1A0000}"/>
    <cellStyle name="Normal 5 3 6 7 2" xfId="13259" xr:uid="{BC46BBE4-9E66-46C3-899B-63909A98453F}"/>
    <cellStyle name="Normal 5 3 6 8" xfId="9041" xr:uid="{9BDFFCC7-8114-4E19-8177-57F1B02B30B6}"/>
    <cellStyle name="Normal 5 3 7" xfId="914" xr:uid="{00000000-0005-0000-0000-00009F1A0000}"/>
    <cellStyle name="Normal 5 3 7 2" xfId="3149" xr:uid="{00000000-0005-0000-0000-0000A01A0000}"/>
    <cellStyle name="Normal 5 3 7 2 2" xfId="7373" xr:uid="{00000000-0005-0000-0000-0000A11A0000}"/>
    <cellStyle name="Normal 5 3 7 2 2 2" xfId="15802" xr:uid="{7F13CD9D-9CFB-4215-A002-A9C07B59B8C9}"/>
    <cellStyle name="Normal 5 3 7 2 3" xfId="11584" xr:uid="{27A12303-2A54-4AC4-892D-8B7A0F27E22E}"/>
    <cellStyle name="Normal 5 3 7 3" xfId="5228" xr:uid="{00000000-0005-0000-0000-0000A21A0000}"/>
    <cellStyle name="Normal 5 3 7 3 2" xfId="13657" xr:uid="{9D69C069-FEB0-4CDC-A195-49863DF11A2C}"/>
    <cellStyle name="Normal 5 3 7 4" xfId="9439" xr:uid="{7BC28E17-B61F-4053-B120-2A0FC1920C66}"/>
    <cellStyle name="Normal 5 3 8" xfId="1332" xr:uid="{00000000-0005-0000-0000-0000A31A0000}"/>
    <cellStyle name="Normal 5 3 8 2" xfId="3562" xr:uid="{00000000-0005-0000-0000-0000A41A0000}"/>
    <cellStyle name="Normal 5 3 8 2 2" xfId="7786" xr:uid="{00000000-0005-0000-0000-0000A51A0000}"/>
    <cellStyle name="Normal 5 3 8 2 2 2" xfId="16215" xr:uid="{B75D952C-5678-44A6-92E8-7F46AF12661A}"/>
    <cellStyle name="Normal 5 3 8 2 3" xfId="11997" xr:uid="{DCA60ACE-03D0-43D2-82EB-413E42775F33}"/>
    <cellStyle name="Normal 5 3 8 3" xfId="5641" xr:uid="{00000000-0005-0000-0000-0000A61A0000}"/>
    <cellStyle name="Normal 5 3 8 3 2" xfId="14070" xr:uid="{A9D615D8-7943-4651-B15C-564E90E1FEEB}"/>
    <cellStyle name="Normal 5 3 8 4" xfId="9852" xr:uid="{7D90FBD4-C42D-4BB1-8EE3-3CB25A6FC5F4}"/>
    <cellStyle name="Normal 5 3 9" xfId="1745" xr:uid="{00000000-0005-0000-0000-0000A71A0000}"/>
    <cellStyle name="Normal 5 3 9 2" xfId="3975" xr:uid="{00000000-0005-0000-0000-0000A81A0000}"/>
    <cellStyle name="Normal 5 3 9 2 2" xfId="8199" xr:uid="{00000000-0005-0000-0000-0000A91A0000}"/>
    <cellStyle name="Normal 5 3 9 2 2 2" xfId="16628" xr:uid="{CF38EA29-1C41-4F2A-B766-FF64C0E2775C}"/>
    <cellStyle name="Normal 5 3 9 2 3" xfId="12410" xr:uid="{24FFB2A9-64EB-482A-B280-41E179FFF484}"/>
    <cellStyle name="Normal 5 3 9 3" xfId="6054" xr:uid="{00000000-0005-0000-0000-0000AA1A0000}"/>
    <cellStyle name="Normal 5 3 9 3 2" xfId="14483" xr:uid="{005A4CB1-4878-4585-B606-07E74F04622C}"/>
    <cellStyle name="Normal 5 3 9 4" xfId="10265" xr:uid="{EAB347E5-EE8F-49FF-9B62-FEC6AFFD3983}"/>
    <cellStyle name="Normal 5 4" xfId="456" xr:uid="{00000000-0005-0000-0000-0000AB1A0000}"/>
    <cellStyle name="Normal 5 4 10" xfId="4831" xr:uid="{00000000-0005-0000-0000-0000AC1A0000}"/>
    <cellStyle name="Normal 5 4 10 2" xfId="13260" xr:uid="{727385BE-A7BB-4B0C-916A-D57F60183A70}"/>
    <cellStyle name="Normal 5 4 11" xfId="9042" xr:uid="{82EE2F59-1DB0-4899-8BB4-C458504EFF4A}"/>
    <cellStyle name="Normal 5 4 2" xfId="457" xr:uid="{00000000-0005-0000-0000-0000AD1A0000}"/>
    <cellStyle name="Normal 5 4 2 10" xfId="9043" xr:uid="{248C5F8F-72B9-4768-9AFD-E8CA68B85076}"/>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2 2" xfId="15821" xr:uid="{754E5985-823A-4331-83F1-A1C58270DA14}"/>
    <cellStyle name="Normal 5 4 2 2 2 2 2 3" xfId="11603" xr:uid="{9E3E14EC-ACB1-46A2-B600-DB8918E3E50E}"/>
    <cellStyle name="Normal 5 4 2 2 2 2 3" xfId="5247" xr:uid="{00000000-0005-0000-0000-0000B31A0000}"/>
    <cellStyle name="Normal 5 4 2 2 2 2 3 2" xfId="13676" xr:uid="{75E4927D-F8BA-41DB-AB4C-285490EAC0C1}"/>
    <cellStyle name="Normal 5 4 2 2 2 2 4" xfId="9458" xr:uid="{21A98DCB-FE87-4E43-8125-2DD75985AE03}"/>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2 2" xfId="16234" xr:uid="{D22A222A-9B89-4980-932C-CE624CC7E90E}"/>
    <cellStyle name="Normal 5 4 2 2 2 3 2 3" xfId="12016" xr:uid="{BD0AB159-283A-4775-8B7D-7514DBE72BF4}"/>
    <cellStyle name="Normal 5 4 2 2 2 3 3" xfId="5660" xr:uid="{00000000-0005-0000-0000-0000B71A0000}"/>
    <cellStyle name="Normal 5 4 2 2 2 3 3 2" xfId="14089" xr:uid="{846707BF-3901-4DF0-9157-E65BFDE37B9F}"/>
    <cellStyle name="Normal 5 4 2 2 2 3 4" xfId="9871" xr:uid="{37621CBC-6A08-4B40-969B-9357F76EA1FD}"/>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2 2" xfId="16647" xr:uid="{610BD6B1-8779-4BA0-ABAF-C295C7B77EAA}"/>
    <cellStyle name="Normal 5 4 2 2 2 4 2 3" xfId="12429" xr:uid="{E5D2F025-E7B8-480B-AEA6-BAD2562046EF}"/>
    <cellStyle name="Normal 5 4 2 2 2 4 3" xfId="6073" xr:uid="{00000000-0005-0000-0000-0000BB1A0000}"/>
    <cellStyle name="Normal 5 4 2 2 2 4 3 2" xfId="14502" xr:uid="{48A8C4B0-7267-47CB-97AB-3E34E6BBEA28}"/>
    <cellStyle name="Normal 5 4 2 2 2 4 4" xfId="10284" xr:uid="{80A5E9E1-5211-484E-9858-4C59040369DC}"/>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2 2" xfId="17060" xr:uid="{4D5A180C-C3EA-4BB0-B440-CED60B0E7E5C}"/>
    <cellStyle name="Normal 5 4 2 2 2 5 2 3" xfId="12842" xr:uid="{24214142-15A0-4279-A5D3-0E1546087C4C}"/>
    <cellStyle name="Normal 5 4 2 2 2 5 3" xfId="6486" xr:uid="{00000000-0005-0000-0000-0000BF1A0000}"/>
    <cellStyle name="Normal 5 4 2 2 2 5 3 2" xfId="14915" xr:uid="{49B60020-F316-4606-8C8D-0266553C760B}"/>
    <cellStyle name="Normal 5 4 2 2 2 5 4" xfId="10697" xr:uid="{98A1145C-0EC2-4F50-A729-4EE5771EFAAB}"/>
    <cellStyle name="Normal 5 4 2 2 2 6" xfId="2614" xr:uid="{00000000-0005-0000-0000-0000C01A0000}"/>
    <cellStyle name="Normal 5 4 2 2 2 6 2" xfId="6899" xr:uid="{00000000-0005-0000-0000-0000C11A0000}"/>
    <cellStyle name="Normal 5 4 2 2 2 6 2 2" xfId="15328" xr:uid="{556BA821-B58F-4E63-BA9C-9CFDE033A00D}"/>
    <cellStyle name="Normal 5 4 2 2 2 6 3" xfId="11110" xr:uid="{7EF7787B-3F72-4C1E-9909-3803DD41BE91}"/>
    <cellStyle name="Normal 5 4 2 2 2 7" xfId="4834" xr:uid="{00000000-0005-0000-0000-0000C21A0000}"/>
    <cellStyle name="Normal 5 4 2 2 2 7 2" xfId="13263" xr:uid="{B99C9AB1-46A0-4DD1-8EB2-399193AF3C67}"/>
    <cellStyle name="Normal 5 4 2 2 2 8" xfId="9045" xr:uid="{139D99C0-0083-4773-AAEC-88CAE8C91650}"/>
    <cellStyle name="Normal 5 4 2 2 3" xfId="933" xr:uid="{00000000-0005-0000-0000-0000C31A0000}"/>
    <cellStyle name="Normal 5 4 2 2 3 2" xfId="3167" xr:uid="{00000000-0005-0000-0000-0000C41A0000}"/>
    <cellStyle name="Normal 5 4 2 2 3 2 2" xfId="7391" xr:uid="{00000000-0005-0000-0000-0000C51A0000}"/>
    <cellStyle name="Normal 5 4 2 2 3 2 2 2" xfId="15820" xr:uid="{5A599C67-EB4F-42C4-8B96-C4DBC8CFCEE0}"/>
    <cellStyle name="Normal 5 4 2 2 3 2 3" xfId="11602" xr:uid="{08FC0068-3989-46E5-AA8A-910E5BA4AFC8}"/>
    <cellStyle name="Normal 5 4 2 2 3 3" xfId="5246" xr:uid="{00000000-0005-0000-0000-0000C61A0000}"/>
    <cellStyle name="Normal 5 4 2 2 3 3 2" xfId="13675" xr:uid="{4576F91A-2F02-4C04-8844-309C82F0B24B}"/>
    <cellStyle name="Normal 5 4 2 2 3 4" xfId="9457" xr:uid="{E8E505D2-12DB-4B9B-AFC6-1B8C6D59EC60}"/>
    <cellStyle name="Normal 5 4 2 2 4" xfId="1350" xr:uid="{00000000-0005-0000-0000-0000C71A0000}"/>
    <cellStyle name="Normal 5 4 2 2 4 2" xfId="3580" xr:uid="{00000000-0005-0000-0000-0000C81A0000}"/>
    <cellStyle name="Normal 5 4 2 2 4 2 2" xfId="7804" xr:uid="{00000000-0005-0000-0000-0000C91A0000}"/>
    <cellStyle name="Normal 5 4 2 2 4 2 2 2" xfId="16233" xr:uid="{7268BB52-9D46-40AB-B183-FC7173E9C9F1}"/>
    <cellStyle name="Normal 5 4 2 2 4 2 3" xfId="12015" xr:uid="{3D0F78A8-C4DE-4B63-8A02-17C724219335}"/>
    <cellStyle name="Normal 5 4 2 2 4 3" xfId="5659" xr:uid="{00000000-0005-0000-0000-0000CA1A0000}"/>
    <cellStyle name="Normal 5 4 2 2 4 3 2" xfId="14088" xr:uid="{A48720EA-A7FE-45F3-9CFA-1472C9F25922}"/>
    <cellStyle name="Normal 5 4 2 2 4 4" xfId="9870" xr:uid="{7D6FF43E-43CD-4E99-962A-B2FF6062C7DF}"/>
    <cellStyle name="Normal 5 4 2 2 5" xfId="1763" xr:uid="{00000000-0005-0000-0000-0000CB1A0000}"/>
    <cellStyle name="Normal 5 4 2 2 5 2" xfId="3993" xr:uid="{00000000-0005-0000-0000-0000CC1A0000}"/>
    <cellStyle name="Normal 5 4 2 2 5 2 2" xfId="8217" xr:uid="{00000000-0005-0000-0000-0000CD1A0000}"/>
    <cellStyle name="Normal 5 4 2 2 5 2 2 2" xfId="16646" xr:uid="{E1924943-6FF6-4915-972B-8DB1868EB18B}"/>
    <cellStyle name="Normal 5 4 2 2 5 2 3" xfId="12428" xr:uid="{182F2CFA-F49C-4123-B4E5-570F9026A080}"/>
    <cellStyle name="Normal 5 4 2 2 5 3" xfId="6072" xr:uid="{00000000-0005-0000-0000-0000CE1A0000}"/>
    <cellStyle name="Normal 5 4 2 2 5 3 2" xfId="14501" xr:uid="{65AB00C3-4698-4764-B5B5-6FCF1D8673C5}"/>
    <cellStyle name="Normal 5 4 2 2 5 4" xfId="10283" xr:uid="{114B251F-A66A-4511-99A0-262BD9A79C73}"/>
    <cellStyle name="Normal 5 4 2 2 6" xfId="2177" xr:uid="{00000000-0005-0000-0000-0000CF1A0000}"/>
    <cellStyle name="Normal 5 4 2 2 6 2" xfId="4406" xr:uid="{00000000-0005-0000-0000-0000D01A0000}"/>
    <cellStyle name="Normal 5 4 2 2 6 2 2" xfId="8630" xr:uid="{00000000-0005-0000-0000-0000D11A0000}"/>
    <cellStyle name="Normal 5 4 2 2 6 2 2 2" xfId="17059" xr:uid="{58CB9371-2CFC-4402-8303-1A91C6C57F80}"/>
    <cellStyle name="Normal 5 4 2 2 6 2 3" xfId="12841" xr:uid="{BD6AD634-B3A5-448C-A1CE-B268F38503AE}"/>
    <cellStyle name="Normal 5 4 2 2 6 3" xfId="6485" xr:uid="{00000000-0005-0000-0000-0000D21A0000}"/>
    <cellStyle name="Normal 5 4 2 2 6 3 2" xfId="14914" xr:uid="{4DC62893-5BF2-4C84-BB00-43783317A6D0}"/>
    <cellStyle name="Normal 5 4 2 2 6 4" xfId="10696" xr:uid="{E1C05142-069A-4990-978E-BC4B5F5B2CE5}"/>
    <cellStyle name="Normal 5 4 2 2 7" xfId="2613" xr:uid="{00000000-0005-0000-0000-0000D31A0000}"/>
    <cellStyle name="Normal 5 4 2 2 7 2" xfId="6898" xr:uid="{00000000-0005-0000-0000-0000D41A0000}"/>
    <cellStyle name="Normal 5 4 2 2 7 2 2" xfId="15327" xr:uid="{FC4724CC-CD80-4A2B-9C5C-C1FC0B0091FD}"/>
    <cellStyle name="Normal 5 4 2 2 7 3" xfId="11109" xr:uid="{C78BB0E6-6FB8-4910-8FBB-F14DF240F751}"/>
    <cellStyle name="Normal 5 4 2 2 8" xfId="4833" xr:uid="{00000000-0005-0000-0000-0000D51A0000}"/>
    <cellStyle name="Normal 5 4 2 2 8 2" xfId="13262" xr:uid="{C9513FDA-61DC-4B39-A0C2-83F2EDC294EC}"/>
    <cellStyle name="Normal 5 4 2 2 9" xfId="9044" xr:uid="{CE2A45C7-C8A3-420F-94A8-B35C474A180C}"/>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2 2" xfId="15822" xr:uid="{694B7E05-F0E5-4FB4-A25F-623D2D42EC1B}"/>
    <cellStyle name="Normal 5 4 2 3 2 2 3" xfId="11604" xr:uid="{6992B7C9-7610-4B72-863F-87030B14D717}"/>
    <cellStyle name="Normal 5 4 2 3 2 3" xfId="5248" xr:uid="{00000000-0005-0000-0000-0000DA1A0000}"/>
    <cellStyle name="Normal 5 4 2 3 2 3 2" xfId="13677" xr:uid="{3BC11D5F-F887-4413-94FC-BF114EC354F8}"/>
    <cellStyle name="Normal 5 4 2 3 2 4" xfId="9459" xr:uid="{C350ADCF-B922-4163-B985-D78319AB4E59}"/>
    <cellStyle name="Normal 5 4 2 3 3" xfId="1352" xr:uid="{00000000-0005-0000-0000-0000DB1A0000}"/>
    <cellStyle name="Normal 5 4 2 3 3 2" xfId="3582" xr:uid="{00000000-0005-0000-0000-0000DC1A0000}"/>
    <cellStyle name="Normal 5 4 2 3 3 2 2" xfId="7806" xr:uid="{00000000-0005-0000-0000-0000DD1A0000}"/>
    <cellStyle name="Normal 5 4 2 3 3 2 2 2" xfId="16235" xr:uid="{06134654-BD2D-440B-A5C9-7FECF066B9FC}"/>
    <cellStyle name="Normal 5 4 2 3 3 2 3" xfId="12017" xr:uid="{E192A85F-666C-43EA-BF34-05E53F620292}"/>
    <cellStyle name="Normal 5 4 2 3 3 3" xfId="5661" xr:uid="{00000000-0005-0000-0000-0000DE1A0000}"/>
    <cellStyle name="Normal 5 4 2 3 3 3 2" xfId="14090" xr:uid="{F4ED878D-640E-424C-A1A8-63D3D9664B3D}"/>
    <cellStyle name="Normal 5 4 2 3 3 4" xfId="9872" xr:uid="{A405CCAC-F859-40F7-86A8-3CDFDE8BD733}"/>
    <cellStyle name="Normal 5 4 2 3 4" xfId="1765" xr:uid="{00000000-0005-0000-0000-0000DF1A0000}"/>
    <cellStyle name="Normal 5 4 2 3 4 2" xfId="3995" xr:uid="{00000000-0005-0000-0000-0000E01A0000}"/>
    <cellStyle name="Normal 5 4 2 3 4 2 2" xfId="8219" xr:uid="{00000000-0005-0000-0000-0000E11A0000}"/>
    <cellStyle name="Normal 5 4 2 3 4 2 2 2" xfId="16648" xr:uid="{5F4838D3-9315-49B3-97CA-7484804C775B}"/>
    <cellStyle name="Normal 5 4 2 3 4 2 3" xfId="12430" xr:uid="{D2C167DE-75D4-4E4F-B458-796D5AEF00E9}"/>
    <cellStyle name="Normal 5 4 2 3 4 3" xfId="6074" xr:uid="{00000000-0005-0000-0000-0000E21A0000}"/>
    <cellStyle name="Normal 5 4 2 3 4 3 2" xfId="14503" xr:uid="{5A3F7A7D-2F89-485A-8CA5-67FF2E2FF8E9}"/>
    <cellStyle name="Normal 5 4 2 3 4 4" xfId="10285" xr:uid="{6E5F710E-2EA5-44B7-A29F-F2D259A6CF75}"/>
    <cellStyle name="Normal 5 4 2 3 5" xfId="2179" xr:uid="{00000000-0005-0000-0000-0000E31A0000}"/>
    <cellStyle name="Normal 5 4 2 3 5 2" xfId="4408" xr:uid="{00000000-0005-0000-0000-0000E41A0000}"/>
    <cellStyle name="Normal 5 4 2 3 5 2 2" xfId="8632" xr:uid="{00000000-0005-0000-0000-0000E51A0000}"/>
    <cellStyle name="Normal 5 4 2 3 5 2 2 2" xfId="17061" xr:uid="{31E235CC-5FBB-49B8-BEAD-D80AA6EE1D46}"/>
    <cellStyle name="Normal 5 4 2 3 5 2 3" xfId="12843" xr:uid="{70DEC879-47A1-41A8-9B5E-257A7AF50BF1}"/>
    <cellStyle name="Normal 5 4 2 3 5 3" xfId="6487" xr:uid="{00000000-0005-0000-0000-0000E61A0000}"/>
    <cellStyle name="Normal 5 4 2 3 5 3 2" xfId="14916" xr:uid="{11270CA8-0421-41D3-B01C-5C0EA05D2C68}"/>
    <cellStyle name="Normal 5 4 2 3 5 4" xfId="10698" xr:uid="{2A989900-6C6D-4FB2-97BB-1498EF99E65D}"/>
    <cellStyle name="Normal 5 4 2 3 6" xfId="2615" xr:uid="{00000000-0005-0000-0000-0000E71A0000}"/>
    <cellStyle name="Normal 5 4 2 3 6 2" xfId="6900" xr:uid="{00000000-0005-0000-0000-0000E81A0000}"/>
    <cellStyle name="Normal 5 4 2 3 6 2 2" xfId="15329" xr:uid="{D121C7C3-9846-4D23-B79A-3E137BE42A20}"/>
    <cellStyle name="Normal 5 4 2 3 6 3" xfId="11111" xr:uid="{D02E5D9E-2BA2-4B65-B28F-9221BF277C3B}"/>
    <cellStyle name="Normal 5 4 2 3 7" xfId="4835" xr:uid="{00000000-0005-0000-0000-0000E91A0000}"/>
    <cellStyle name="Normal 5 4 2 3 7 2" xfId="13264" xr:uid="{FC80D6C7-6BE4-48AC-AE19-90F9BBC93BB8}"/>
    <cellStyle name="Normal 5 4 2 3 8" xfId="9046" xr:uid="{0534DA9F-4490-48E4-B20B-6D033A59CAC1}"/>
    <cellStyle name="Normal 5 4 2 4" xfId="932" xr:uid="{00000000-0005-0000-0000-0000EA1A0000}"/>
    <cellStyle name="Normal 5 4 2 4 2" xfId="3166" xr:uid="{00000000-0005-0000-0000-0000EB1A0000}"/>
    <cellStyle name="Normal 5 4 2 4 2 2" xfId="7390" xr:uid="{00000000-0005-0000-0000-0000EC1A0000}"/>
    <cellStyle name="Normal 5 4 2 4 2 2 2" xfId="15819" xr:uid="{5128DCD8-B241-487C-BB5A-EB97126F239C}"/>
    <cellStyle name="Normal 5 4 2 4 2 3" xfId="11601" xr:uid="{B7CA789D-BBB5-42BD-A671-97501D852C5C}"/>
    <cellStyle name="Normal 5 4 2 4 3" xfId="5245" xr:uid="{00000000-0005-0000-0000-0000ED1A0000}"/>
    <cellStyle name="Normal 5 4 2 4 3 2" xfId="13674" xr:uid="{1E41389A-2DC8-4107-8419-75D455E8D527}"/>
    <cellStyle name="Normal 5 4 2 4 4" xfId="9456" xr:uid="{FCF8D299-E137-4564-BEB0-D29F4D2DD355}"/>
    <cellStyle name="Normal 5 4 2 5" xfId="1349" xr:uid="{00000000-0005-0000-0000-0000EE1A0000}"/>
    <cellStyle name="Normal 5 4 2 5 2" xfId="3579" xr:uid="{00000000-0005-0000-0000-0000EF1A0000}"/>
    <cellStyle name="Normal 5 4 2 5 2 2" xfId="7803" xr:uid="{00000000-0005-0000-0000-0000F01A0000}"/>
    <cellStyle name="Normal 5 4 2 5 2 2 2" xfId="16232" xr:uid="{CD9A499B-7DC8-4F96-92CC-36DD706F8E73}"/>
    <cellStyle name="Normal 5 4 2 5 2 3" xfId="12014" xr:uid="{3D75E7EC-E820-4B16-B3AC-5CD59F4E4CCF}"/>
    <cellStyle name="Normal 5 4 2 5 3" xfId="5658" xr:uid="{00000000-0005-0000-0000-0000F11A0000}"/>
    <cellStyle name="Normal 5 4 2 5 3 2" xfId="14087" xr:uid="{29AC23B3-2CE0-4A4D-8FDA-B0E52CD3832D}"/>
    <cellStyle name="Normal 5 4 2 5 4" xfId="9869" xr:uid="{041193F6-F073-48F9-868D-B3D5D7D370BA}"/>
    <cellStyle name="Normal 5 4 2 6" xfId="1762" xr:uid="{00000000-0005-0000-0000-0000F21A0000}"/>
    <cellStyle name="Normal 5 4 2 6 2" xfId="3992" xr:uid="{00000000-0005-0000-0000-0000F31A0000}"/>
    <cellStyle name="Normal 5 4 2 6 2 2" xfId="8216" xr:uid="{00000000-0005-0000-0000-0000F41A0000}"/>
    <cellStyle name="Normal 5 4 2 6 2 2 2" xfId="16645" xr:uid="{C82C367F-186F-4705-9499-C23EAD8F21FF}"/>
    <cellStyle name="Normal 5 4 2 6 2 3" xfId="12427" xr:uid="{F0C4DDBE-3F77-4DCD-B969-EB701ADD2598}"/>
    <cellStyle name="Normal 5 4 2 6 3" xfId="6071" xr:uid="{00000000-0005-0000-0000-0000F51A0000}"/>
    <cellStyle name="Normal 5 4 2 6 3 2" xfId="14500" xr:uid="{693BB850-5886-4E38-90FB-93FD8BAD5E04}"/>
    <cellStyle name="Normal 5 4 2 6 4" xfId="10282" xr:uid="{7B72347B-5344-4C24-9E1A-BFE7EDFC822C}"/>
    <cellStyle name="Normal 5 4 2 7" xfId="2176" xr:uid="{00000000-0005-0000-0000-0000F61A0000}"/>
    <cellStyle name="Normal 5 4 2 7 2" xfId="4405" xr:uid="{00000000-0005-0000-0000-0000F71A0000}"/>
    <cellStyle name="Normal 5 4 2 7 2 2" xfId="8629" xr:uid="{00000000-0005-0000-0000-0000F81A0000}"/>
    <cellStyle name="Normal 5 4 2 7 2 2 2" xfId="17058" xr:uid="{2FBACFC0-047A-4C49-815A-380E10B2EC93}"/>
    <cellStyle name="Normal 5 4 2 7 2 3" xfId="12840" xr:uid="{6F036B58-6D47-423F-94FA-B15FE6BF8457}"/>
    <cellStyle name="Normal 5 4 2 7 3" xfId="6484" xr:uid="{00000000-0005-0000-0000-0000F91A0000}"/>
    <cellStyle name="Normal 5 4 2 7 3 2" xfId="14913" xr:uid="{08FA896F-50EF-491A-A0AD-640270BFC97B}"/>
    <cellStyle name="Normal 5 4 2 7 4" xfId="10695" xr:uid="{3FBD89B4-41F6-4232-9A66-3B7DFCE0CD61}"/>
    <cellStyle name="Normal 5 4 2 8" xfId="2612" xr:uid="{00000000-0005-0000-0000-0000FA1A0000}"/>
    <cellStyle name="Normal 5 4 2 8 2" xfId="6897" xr:uid="{00000000-0005-0000-0000-0000FB1A0000}"/>
    <cellStyle name="Normal 5 4 2 8 2 2" xfId="15326" xr:uid="{DCEB64BC-2BE4-410C-996B-91DA0818BC59}"/>
    <cellStyle name="Normal 5 4 2 8 3" xfId="11108" xr:uid="{F1244823-F712-4BF1-AE0B-600A3D14FEA2}"/>
    <cellStyle name="Normal 5 4 2 9" xfId="4832" xr:uid="{00000000-0005-0000-0000-0000FC1A0000}"/>
    <cellStyle name="Normal 5 4 2 9 2" xfId="13261" xr:uid="{CC74A376-5A5A-4B3B-B395-3208455183C1}"/>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2 2" xfId="15824" xr:uid="{37E59F66-FFBC-46EF-A3BC-F38F05E7A702}"/>
    <cellStyle name="Normal 5 4 3 2 2 2 3" xfId="11606" xr:uid="{DCF9755E-87D0-49E7-84A4-3F9ABB4AAF77}"/>
    <cellStyle name="Normal 5 4 3 2 2 3" xfId="5250" xr:uid="{00000000-0005-0000-0000-0000021B0000}"/>
    <cellStyle name="Normal 5 4 3 2 2 3 2" xfId="13679" xr:uid="{0FF96756-ACB5-4C20-8442-13370503BE38}"/>
    <cellStyle name="Normal 5 4 3 2 2 4" xfId="9461" xr:uid="{08201334-E8FC-4AB6-9E0F-58A1A7CD277E}"/>
    <cellStyle name="Normal 5 4 3 2 3" xfId="1354" xr:uid="{00000000-0005-0000-0000-0000031B0000}"/>
    <cellStyle name="Normal 5 4 3 2 3 2" xfId="3584" xr:uid="{00000000-0005-0000-0000-0000041B0000}"/>
    <cellStyle name="Normal 5 4 3 2 3 2 2" xfId="7808" xr:uid="{00000000-0005-0000-0000-0000051B0000}"/>
    <cellStyle name="Normal 5 4 3 2 3 2 2 2" xfId="16237" xr:uid="{860A7C46-7885-4EAA-B331-AAA83C7E5F83}"/>
    <cellStyle name="Normal 5 4 3 2 3 2 3" xfId="12019" xr:uid="{3FD1FB8E-20CB-42EB-A4FC-2580C634ADDA}"/>
    <cellStyle name="Normal 5 4 3 2 3 3" xfId="5663" xr:uid="{00000000-0005-0000-0000-0000061B0000}"/>
    <cellStyle name="Normal 5 4 3 2 3 3 2" xfId="14092" xr:uid="{F0F6FAE3-87BA-4631-84A9-A90310E0E799}"/>
    <cellStyle name="Normal 5 4 3 2 3 4" xfId="9874" xr:uid="{8A2B9850-EB06-4F01-998B-E639F834B78C}"/>
    <cellStyle name="Normal 5 4 3 2 4" xfId="1767" xr:uid="{00000000-0005-0000-0000-0000071B0000}"/>
    <cellStyle name="Normal 5 4 3 2 4 2" xfId="3997" xr:uid="{00000000-0005-0000-0000-0000081B0000}"/>
    <cellStyle name="Normal 5 4 3 2 4 2 2" xfId="8221" xr:uid="{00000000-0005-0000-0000-0000091B0000}"/>
    <cellStyle name="Normal 5 4 3 2 4 2 2 2" xfId="16650" xr:uid="{B92740AF-223F-48C7-919C-5D8ECCF36C29}"/>
    <cellStyle name="Normal 5 4 3 2 4 2 3" xfId="12432" xr:uid="{E32A3535-7C84-4D6B-A316-BD2091CB0577}"/>
    <cellStyle name="Normal 5 4 3 2 4 3" xfId="6076" xr:uid="{00000000-0005-0000-0000-00000A1B0000}"/>
    <cellStyle name="Normal 5 4 3 2 4 3 2" xfId="14505" xr:uid="{A8BDF1EA-8663-4CD8-911D-64DF87C8F06B}"/>
    <cellStyle name="Normal 5 4 3 2 4 4" xfId="10287" xr:uid="{6A7CC8C5-E0E9-406B-9357-F524B0DC11CB}"/>
    <cellStyle name="Normal 5 4 3 2 5" xfId="2181" xr:uid="{00000000-0005-0000-0000-00000B1B0000}"/>
    <cellStyle name="Normal 5 4 3 2 5 2" xfId="4410" xr:uid="{00000000-0005-0000-0000-00000C1B0000}"/>
    <cellStyle name="Normal 5 4 3 2 5 2 2" xfId="8634" xr:uid="{00000000-0005-0000-0000-00000D1B0000}"/>
    <cellStyle name="Normal 5 4 3 2 5 2 2 2" xfId="17063" xr:uid="{16E8D039-EF31-4165-8727-748DEF044C5B}"/>
    <cellStyle name="Normal 5 4 3 2 5 2 3" xfId="12845" xr:uid="{7A75D294-F009-4354-8F9E-B1DE36D6B8AE}"/>
    <cellStyle name="Normal 5 4 3 2 5 3" xfId="6489" xr:uid="{00000000-0005-0000-0000-00000E1B0000}"/>
    <cellStyle name="Normal 5 4 3 2 5 3 2" xfId="14918" xr:uid="{75CD2791-FFD9-4D7B-A155-DFCA7AB36D7F}"/>
    <cellStyle name="Normal 5 4 3 2 5 4" xfId="10700" xr:uid="{A9F45270-D468-45D7-9F5F-DDF2A55AE300}"/>
    <cellStyle name="Normal 5 4 3 2 6" xfId="2617" xr:uid="{00000000-0005-0000-0000-00000F1B0000}"/>
    <cellStyle name="Normal 5 4 3 2 6 2" xfId="6902" xr:uid="{00000000-0005-0000-0000-0000101B0000}"/>
    <cellStyle name="Normal 5 4 3 2 6 2 2" xfId="15331" xr:uid="{9DF38371-81C1-4046-B99E-B40C2A8B6F8C}"/>
    <cellStyle name="Normal 5 4 3 2 6 3" xfId="11113" xr:uid="{3C7C17F3-5C6D-438F-B878-EAB6FC768C11}"/>
    <cellStyle name="Normal 5 4 3 2 7" xfId="4837" xr:uid="{00000000-0005-0000-0000-0000111B0000}"/>
    <cellStyle name="Normal 5 4 3 2 7 2" xfId="13266" xr:uid="{745943E6-1986-4684-9E1D-67284D11F074}"/>
    <cellStyle name="Normal 5 4 3 2 8" xfId="9048" xr:uid="{EAB93935-C5A6-4555-BA04-074CE56EEA0D}"/>
    <cellStyle name="Normal 5 4 3 3" xfId="936" xr:uid="{00000000-0005-0000-0000-0000121B0000}"/>
    <cellStyle name="Normal 5 4 3 3 2" xfId="3170" xr:uid="{00000000-0005-0000-0000-0000131B0000}"/>
    <cellStyle name="Normal 5 4 3 3 2 2" xfId="7394" xr:uid="{00000000-0005-0000-0000-0000141B0000}"/>
    <cellStyle name="Normal 5 4 3 3 2 2 2" xfId="15823" xr:uid="{6ED5C287-35DF-40AF-BB6C-52426BCFC8C8}"/>
    <cellStyle name="Normal 5 4 3 3 2 3" xfId="11605" xr:uid="{52D235EC-49F5-457C-8FA7-078AE4CB162B}"/>
    <cellStyle name="Normal 5 4 3 3 3" xfId="5249" xr:uid="{00000000-0005-0000-0000-0000151B0000}"/>
    <cellStyle name="Normal 5 4 3 3 3 2" xfId="13678" xr:uid="{39E0AEC5-99D5-458D-80B6-9C7E4A976CC3}"/>
    <cellStyle name="Normal 5 4 3 3 4" xfId="9460" xr:uid="{BA2687BA-927A-41C4-BD28-C8818854584E}"/>
    <cellStyle name="Normal 5 4 3 4" xfId="1353" xr:uid="{00000000-0005-0000-0000-0000161B0000}"/>
    <cellStyle name="Normal 5 4 3 4 2" xfId="3583" xr:uid="{00000000-0005-0000-0000-0000171B0000}"/>
    <cellStyle name="Normal 5 4 3 4 2 2" xfId="7807" xr:uid="{00000000-0005-0000-0000-0000181B0000}"/>
    <cellStyle name="Normal 5 4 3 4 2 2 2" xfId="16236" xr:uid="{A383BA88-7DDC-4D45-AE3B-D9DBAF02F2EC}"/>
    <cellStyle name="Normal 5 4 3 4 2 3" xfId="12018" xr:uid="{1FD2E81B-28C2-4218-ADBC-809A18BA3EF7}"/>
    <cellStyle name="Normal 5 4 3 4 3" xfId="5662" xr:uid="{00000000-0005-0000-0000-0000191B0000}"/>
    <cellStyle name="Normal 5 4 3 4 3 2" xfId="14091" xr:uid="{6C03AD12-07F2-4334-9DAF-9414943E5D43}"/>
    <cellStyle name="Normal 5 4 3 4 4" xfId="9873" xr:uid="{3DD763CA-17AD-4A8C-8A37-8F1C5A8E8595}"/>
    <cellStyle name="Normal 5 4 3 5" xfId="1766" xr:uid="{00000000-0005-0000-0000-00001A1B0000}"/>
    <cellStyle name="Normal 5 4 3 5 2" xfId="3996" xr:uid="{00000000-0005-0000-0000-00001B1B0000}"/>
    <cellStyle name="Normal 5 4 3 5 2 2" xfId="8220" xr:uid="{00000000-0005-0000-0000-00001C1B0000}"/>
    <cellStyle name="Normal 5 4 3 5 2 2 2" xfId="16649" xr:uid="{391DEF45-942F-4288-B3CC-FB7ABA28317B}"/>
    <cellStyle name="Normal 5 4 3 5 2 3" xfId="12431" xr:uid="{8455B22B-BEBA-4252-A113-8FEE36770C94}"/>
    <cellStyle name="Normal 5 4 3 5 3" xfId="6075" xr:uid="{00000000-0005-0000-0000-00001D1B0000}"/>
    <cellStyle name="Normal 5 4 3 5 3 2" xfId="14504" xr:uid="{FA64B18D-8CE0-49D3-92F3-2FDAE24022AF}"/>
    <cellStyle name="Normal 5 4 3 5 4" xfId="10286" xr:uid="{E98B8B11-709A-45E4-AFE7-EDDF156B4DF7}"/>
    <cellStyle name="Normal 5 4 3 6" xfId="2180" xr:uid="{00000000-0005-0000-0000-00001E1B0000}"/>
    <cellStyle name="Normal 5 4 3 6 2" xfId="4409" xr:uid="{00000000-0005-0000-0000-00001F1B0000}"/>
    <cellStyle name="Normal 5 4 3 6 2 2" xfId="8633" xr:uid="{00000000-0005-0000-0000-0000201B0000}"/>
    <cellStyle name="Normal 5 4 3 6 2 2 2" xfId="17062" xr:uid="{09D54E15-6FE1-4FC9-A659-563409CF1BC9}"/>
    <cellStyle name="Normal 5 4 3 6 2 3" xfId="12844" xr:uid="{7D46F12D-9332-4A0A-B3E8-121859247BA0}"/>
    <cellStyle name="Normal 5 4 3 6 3" xfId="6488" xr:uid="{00000000-0005-0000-0000-0000211B0000}"/>
    <cellStyle name="Normal 5 4 3 6 3 2" xfId="14917" xr:uid="{F0810790-502C-4B14-8A37-4C5FDE122BB1}"/>
    <cellStyle name="Normal 5 4 3 6 4" xfId="10699" xr:uid="{E64D3F69-F83F-40BE-B02F-7006F5E78131}"/>
    <cellStyle name="Normal 5 4 3 7" xfId="2616" xr:uid="{00000000-0005-0000-0000-0000221B0000}"/>
    <cellStyle name="Normal 5 4 3 7 2" xfId="6901" xr:uid="{00000000-0005-0000-0000-0000231B0000}"/>
    <cellStyle name="Normal 5 4 3 7 2 2" xfId="15330" xr:uid="{ECAAD208-E9D9-4F49-82C3-C0FBD31C98C5}"/>
    <cellStyle name="Normal 5 4 3 7 3" xfId="11112" xr:uid="{82FCEA37-B0FE-4901-A3A6-88974E572373}"/>
    <cellStyle name="Normal 5 4 3 8" xfId="4836" xr:uid="{00000000-0005-0000-0000-0000241B0000}"/>
    <cellStyle name="Normal 5 4 3 8 2" xfId="13265" xr:uid="{6AEF838E-996B-4BDA-836F-2DEE1DBF0B13}"/>
    <cellStyle name="Normal 5 4 3 9" xfId="9047" xr:uid="{365F6DBD-BAEB-4615-B74D-BD27AE986D2A}"/>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2 2" xfId="15825" xr:uid="{4AB08CD8-A5F4-405A-9051-6DF5A51BF564}"/>
    <cellStyle name="Normal 5 4 4 2 2 3" xfId="11607" xr:uid="{1E3D2149-E18B-4411-B62E-41FE939F1919}"/>
    <cellStyle name="Normal 5 4 4 2 3" xfId="5251" xr:uid="{00000000-0005-0000-0000-0000291B0000}"/>
    <cellStyle name="Normal 5 4 4 2 3 2" xfId="13680" xr:uid="{B757D9F2-0E51-4B3F-AD33-3A6157C97E6A}"/>
    <cellStyle name="Normal 5 4 4 2 4" xfId="9462" xr:uid="{2B90F7A5-BD6A-4341-9719-71550EC42998}"/>
    <cellStyle name="Normal 5 4 4 3" xfId="1355" xr:uid="{00000000-0005-0000-0000-00002A1B0000}"/>
    <cellStyle name="Normal 5 4 4 3 2" xfId="3585" xr:uid="{00000000-0005-0000-0000-00002B1B0000}"/>
    <cellStyle name="Normal 5 4 4 3 2 2" xfId="7809" xr:uid="{00000000-0005-0000-0000-00002C1B0000}"/>
    <cellStyle name="Normal 5 4 4 3 2 2 2" xfId="16238" xr:uid="{A607AB97-6131-4E78-A77B-D6919BEE2051}"/>
    <cellStyle name="Normal 5 4 4 3 2 3" xfId="12020" xr:uid="{C5BFE0F0-DCA0-4B1D-A1AC-65BB1FE06347}"/>
    <cellStyle name="Normal 5 4 4 3 3" xfId="5664" xr:uid="{00000000-0005-0000-0000-00002D1B0000}"/>
    <cellStyle name="Normal 5 4 4 3 3 2" xfId="14093" xr:uid="{1B621AD8-A210-409E-A1EF-E0307CF5ABB4}"/>
    <cellStyle name="Normal 5 4 4 3 4" xfId="9875" xr:uid="{D48123F0-CC9D-4C95-83FA-A34DEAE2003A}"/>
    <cellStyle name="Normal 5 4 4 4" xfId="1768" xr:uid="{00000000-0005-0000-0000-00002E1B0000}"/>
    <cellStyle name="Normal 5 4 4 4 2" xfId="3998" xr:uid="{00000000-0005-0000-0000-00002F1B0000}"/>
    <cellStyle name="Normal 5 4 4 4 2 2" xfId="8222" xr:uid="{00000000-0005-0000-0000-0000301B0000}"/>
    <cellStyle name="Normal 5 4 4 4 2 2 2" xfId="16651" xr:uid="{DC13614D-ADD8-4CE3-A595-83E9E97C14DD}"/>
    <cellStyle name="Normal 5 4 4 4 2 3" xfId="12433" xr:uid="{B3734FFF-17C8-43F1-958D-2094B263D355}"/>
    <cellStyle name="Normal 5 4 4 4 3" xfId="6077" xr:uid="{00000000-0005-0000-0000-0000311B0000}"/>
    <cellStyle name="Normal 5 4 4 4 3 2" xfId="14506" xr:uid="{2F88D264-219B-4174-94F5-E9116AA4B057}"/>
    <cellStyle name="Normal 5 4 4 4 4" xfId="10288" xr:uid="{8FBE50D2-D098-40F5-BDAC-9EBE7D165373}"/>
    <cellStyle name="Normal 5 4 4 5" xfId="2182" xr:uid="{00000000-0005-0000-0000-0000321B0000}"/>
    <cellStyle name="Normal 5 4 4 5 2" xfId="4411" xr:uid="{00000000-0005-0000-0000-0000331B0000}"/>
    <cellStyle name="Normal 5 4 4 5 2 2" xfId="8635" xr:uid="{00000000-0005-0000-0000-0000341B0000}"/>
    <cellStyle name="Normal 5 4 4 5 2 2 2" xfId="17064" xr:uid="{444596BB-76A6-41FF-9CBE-E7B87B791927}"/>
    <cellStyle name="Normal 5 4 4 5 2 3" xfId="12846" xr:uid="{578524A1-877F-4A78-9DB9-0C4E5B9FD463}"/>
    <cellStyle name="Normal 5 4 4 5 3" xfId="6490" xr:uid="{00000000-0005-0000-0000-0000351B0000}"/>
    <cellStyle name="Normal 5 4 4 5 3 2" xfId="14919" xr:uid="{EC51DF32-76CC-44CA-BD28-BABEFF707729}"/>
    <cellStyle name="Normal 5 4 4 5 4" xfId="10701" xr:uid="{43EA835C-4988-49AD-92AC-CD3ADFD961E4}"/>
    <cellStyle name="Normal 5 4 4 6" xfId="2618" xr:uid="{00000000-0005-0000-0000-0000361B0000}"/>
    <cellStyle name="Normal 5 4 4 6 2" xfId="6903" xr:uid="{00000000-0005-0000-0000-0000371B0000}"/>
    <cellStyle name="Normal 5 4 4 6 2 2" xfId="15332" xr:uid="{F193ED8D-393C-403A-B760-E6C3C6836B39}"/>
    <cellStyle name="Normal 5 4 4 6 3" xfId="11114" xr:uid="{F41D7EC8-D28E-42E7-BA73-8F0980972FE5}"/>
    <cellStyle name="Normal 5 4 4 7" xfId="4838" xr:uid="{00000000-0005-0000-0000-0000381B0000}"/>
    <cellStyle name="Normal 5 4 4 7 2" xfId="13267" xr:uid="{8F33CA6A-55D5-4AE2-AD61-0F884849DBFB}"/>
    <cellStyle name="Normal 5 4 4 8" xfId="9049" xr:uid="{CDBAFDBE-C978-46CD-BD27-4A395EFAF7DA}"/>
    <cellStyle name="Normal 5 4 5" xfId="931" xr:uid="{00000000-0005-0000-0000-0000391B0000}"/>
    <cellStyle name="Normal 5 4 5 2" xfId="3165" xr:uid="{00000000-0005-0000-0000-00003A1B0000}"/>
    <cellStyle name="Normal 5 4 5 2 2" xfId="7389" xr:uid="{00000000-0005-0000-0000-00003B1B0000}"/>
    <cellStyle name="Normal 5 4 5 2 2 2" xfId="15818" xr:uid="{6FBFA87F-CBFA-4410-BA48-7AD9AFD05917}"/>
    <cellStyle name="Normal 5 4 5 2 3" xfId="11600" xr:uid="{8909D390-678B-440E-9A4B-CA6AEB17EABF}"/>
    <cellStyle name="Normal 5 4 5 3" xfId="5244" xr:uid="{00000000-0005-0000-0000-00003C1B0000}"/>
    <cellStyle name="Normal 5 4 5 3 2" xfId="13673" xr:uid="{7B77671A-99A7-4AAB-994D-DE0B97CB5D4A}"/>
    <cellStyle name="Normal 5 4 5 4" xfId="9455" xr:uid="{2B74D04B-C9BE-441C-9C91-A34D0D1B454A}"/>
    <cellStyle name="Normal 5 4 6" xfId="1348" xr:uid="{00000000-0005-0000-0000-00003D1B0000}"/>
    <cellStyle name="Normal 5 4 6 2" xfId="3578" xr:uid="{00000000-0005-0000-0000-00003E1B0000}"/>
    <cellStyle name="Normal 5 4 6 2 2" xfId="7802" xr:uid="{00000000-0005-0000-0000-00003F1B0000}"/>
    <cellStyle name="Normal 5 4 6 2 2 2" xfId="16231" xr:uid="{B7BC64F2-60EC-4715-9547-7A3FD4E0D485}"/>
    <cellStyle name="Normal 5 4 6 2 3" xfId="12013" xr:uid="{E13D53DB-994E-4995-A7D2-8716371B4EBF}"/>
    <cellStyle name="Normal 5 4 6 3" xfId="5657" xr:uid="{00000000-0005-0000-0000-0000401B0000}"/>
    <cellStyle name="Normal 5 4 6 3 2" xfId="14086" xr:uid="{E5050189-40B4-4C04-9862-F83DA2C039D6}"/>
    <cellStyle name="Normal 5 4 6 4" xfId="9868" xr:uid="{CE9958F8-6A97-40C0-BAA1-A473FE23FA43}"/>
    <cellStyle name="Normal 5 4 7" xfId="1761" xr:uid="{00000000-0005-0000-0000-0000411B0000}"/>
    <cellStyle name="Normal 5 4 7 2" xfId="3991" xr:uid="{00000000-0005-0000-0000-0000421B0000}"/>
    <cellStyle name="Normal 5 4 7 2 2" xfId="8215" xr:uid="{00000000-0005-0000-0000-0000431B0000}"/>
    <cellStyle name="Normal 5 4 7 2 2 2" xfId="16644" xr:uid="{F4CDD8B4-8EED-4DA5-946C-F42D1BEAFE9C}"/>
    <cellStyle name="Normal 5 4 7 2 3" xfId="12426" xr:uid="{F67E97FE-F5A0-4DE8-86FB-254627117670}"/>
    <cellStyle name="Normal 5 4 7 3" xfId="6070" xr:uid="{00000000-0005-0000-0000-0000441B0000}"/>
    <cellStyle name="Normal 5 4 7 3 2" xfId="14499" xr:uid="{85575E21-254F-4096-B480-03FAA6E6A493}"/>
    <cellStyle name="Normal 5 4 7 4" xfId="10281" xr:uid="{4A8435B9-4F34-4439-9C42-A8ACE01CC3DE}"/>
    <cellStyle name="Normal 5 4 8" xfId="2175" xr:uid="{00000000-0005-0000-0000-0000451B0000}"/>
    <cellStyle name="Normal 5 4 8 2" xfId="4404" xr:uid="{00000000-0005-0000-0000-0000461B0000}"/>
    <cellStyle name="Normal 5 4 8 2 2" xfId="8628" xr:uid="{00000000-0005-0000-0000-0000471B0000}"/>
    <cellStyle name="Normal 5 4 8 2 2 2" xfId="17057" xr:uid="{67879014-5352-4EE3-86C2-6CABCCC4ED31}"/>
    <cellStyle name="Normal 5 4 8 2 3" xfId="12839" xr:uid="{9C4A2415-647C-4B27-9916-F82450F45C89}"/>
    <cellStyle name="Normal 5 4 8 3" xfId="6483" xr:uid="{00000000-0005-0000-0000-0000481B0000}"/>
    <cellStyle name="Normal 5 4 8 3 2" xfId="14912" xr:uid="{637B06A5-FB86-434F-A5B4-A58D3F9C223B}"/>
    <cellStyle name="Normal 5 4 8 4" xfId="10694" xr:uid="{6E87C93F-4E55-4C6A-91D3-87E1F7FC76AB}"/>
    <cellStyle name="Normal 5 4 9" xfId="2611" xr:uid="{00000000-0005-0000-0000-0000491B0000}"/>
    <cellStyle name="Normal 5 4 9 2" xfId="6896" xr:uid="{00000000-0005-0000-0000-00004A1B0000}"/>
    <cellStyle name="Normal 5 4 9 2 2" xfId="15325" xr:uid="{4702DF90-BDCE-4492-B606-6CC745E994AF}"/>
    <cellStyle name="Normal 5 4 9 3" xfId="11107" xr:uid="{6F3AE410-7F70-400A-89A3-C1E16F3CBC92}"/>
    <cellStyle name="Normal 5 5" xfId="464" xr:uid="{00000000-0005-0000-0000-00004B1B0000}"/>
    <cellStyle name="Normal 5 5 10" xfId="9050" xr:uid="{3DA2F166-BF02-4620-B301-77D633763C16}"/>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2 2" xfId="15828" xr:uid="{5D9DE7F4-4254-49A2-AFF2-4E3B5AB650D0}"/>
    <cellStyle name="Normal 5 5 2 2 2 2 3" xfId="11610" xr:uid="{EADE5509-482E-4F60-909E-D2522355A0F7}"/>
    <cellStyle name="Normal 5 5 2 2 2 3" xfId="5254" xr:uid="{00000000-0005-0000-0000-0000511B0000}"/>
    <cellStyle name="Normal 5 5 2 2 2 3 2" xfId="13683" xr:uid="{7186614E-33C3-4091-8501-3799F618CC5F}"/>
    <cellStyle name="Normal 5 5 2 2 2 4" xfId="9465" xr:uid="{50D2CFA0-3221-4583-BA2F-F21F092E386D}"/>
    <cellStyle name="Normal 5 5 2 2 3" xfId="1358" xr:uid="{00000000-0005-0000-0000-0000521B0000}"/>
    <cellStyle name="Normal 5 5 2 2 3 2" xfId="3588" xr:uid="{00000000-0005-0000-0000-0000531B0000}"/>
    <cellStyle name="Normal 5 5 2 2 3 2 2" xfId="7812" xr:uid="{00000000-0005-0000-0000-0000541B0000}"/>
    <cellStyle name="Normal 5 5 2 2 3 2 2 2" xfId="16241" xr:uid="{772681C2-07E9-4FD2-9D57-B5A201A8FC35}"/>
    <cellStyle name="Normal 5 5 2 2 3 2 3" xfId="12023" xr:uid="{DFC82CDB-5661-4CFD-AA1C-FF2B8473E213}"/>
    <cellStyle name="Normal 5 5 2 2 3 3" xfId="5667" xr:uid="{00000000-0005-0000-0000-0000551B0000}"/>
    <cellStyle name="Normal 5 5 2 2 3 3 2" xfId="14096" xr:uid="{71A5D055-7B76-4A9F-A6D7-61AFB334F822}"/>
    <cellStyle name="Normal 5 5 2 2 3 4" xfId="9878" xr:uid="{EBCEAF3D-FFCE-44A6-825A-8F2037FD8EBC}"/>
    <cellStyle name="Normal 5 5 2 2 4" xfId="1771" xr:uid="{00000000-0005-0000-0000-0000561B0000}"/>
    <cellStyle name="Normal 5 5 2 2 4 2" xfId="4001" xr:uid="{00000000-0005-0000-0000-0000571B0000}"/>
    <cellStyle name="Normal 5 5 2 2 4 2 2" xfId="8225" xr:uid="{00000000-0005-0000-0000-0000581B0000}"/>
    <cellStyle name="Normal 5 5 2 2 4 2 2 2" xfId="16654" xr:uid="{A3FEFA08-C7E8-4046-88BD-7D9335F83228}"/>
    <cellStyle name="Normal 5 5 2 2 4 2 3" xfId="12436" xr:uid="{7F4DD85A-B699-42FF-AF34-C8EAE6EF417D}"/>
    <cellStyle name="Normal 5 5 2 2 4 3" xfId="6080" xr:uid="{00000000-0005-0000-0000-0000591B0000}"/>
    <cellStyle name="Normal 5 5 2 2 4 3 2" xfId="14509" xr:uid="{B65BFDFF-7E7C-46AB-A380-620D86656651}"/>
    <cellStyle name="Normal 5 5 2 2 4 4" xfId="10291" xr:uid="{FFD7874C-75A1-4D3F-A4E1-008371E2EDAF}"/>
    <cellStyle name="Normal 5 5 2 2 5" xfId="2185" xr:uid="{00000000-0005-0000-0000-00005A1B0000}"/>
    <cellStyle name="Normal 5 5 2 2 5 2" xfId="4414" xr:uid="{00000000-0005-0000-0000-00005B1B0000}"/>
    <cellStyle name="Normal 5 5 2 2 5 2 2" xfId="8638" xr:uid="{00000000-0005-0000-0000-00005C1B0000}"/>
    <cellStyle name="Normal 5 5 2 2 5 2 2 2" xfId="17067" xr:uid="{C2862697-F2D9-4F07-9562-2553A94C0D52}"/>
    <cellStyle name="Normal 5 5 2 2 5 2 3" xfId="12849" xr:uid="{16647ED3-AA7B-45E8-B652-E016D250DF69}"/>
    <cellStyle name="Normal 5 5 2 2 5 3" xfId="6493" xr:uid="{00000000-0005-0000-0000-00005D1B0000}"/>
    <cellStyle name="Normal 5 5 2 2 5 3 2" xfId="14922" xr:uid="{74665892-216F-4B16-8AA7-E61A0C015E94}"/>
    <cellStyle name="Normal 5 5 2 2 5 4" xfId="10704" xr:uid="{EB1CE3E6-9D6A-48B3-92F4-58B76A4639EF}"/>
    <cellStyle name="Normal 5 5 2 2 6" xfId="2621" xr:uid="{00000000-0005-0000-0000-00005E1B0000}"/>
    <cellStyle name="Normal 5 5 2 2 6 2" xfId="6906" xr:uid="{00000000-0005-0000-0000-00005F1B0000}"/>
    <cellStyle name="Normal 5 5 2 2 6 2 2" xfId="15335" xr:uid="{7A4805FC-6D02-4490-A6C7-9E449C0BF56E}"/>
    <cellStyle name="Normal 5 5 2 2 6 3" xfId="11117" xr:uid="{C539237B-6C0E-4BAA-A715-3FC4C146CC9F}"/>
    <cellStyle name="Normal 5 5 2 2 7" xfId="4841" xr:uid="{00000000-0005-0000-0000-0000601B0000}"/>
    <cellStyle name="Normal 5 5 2 2 7 2" xfId="13270" xr:uid="{9960BE59-DA84-4A09-8B75-11006510E951}"/>
    <cellStyle name="Normal 5 5 2 2 8" xfId="9052" xr:uid="{04135B74-1066-43EC-9C9F-C545116EFD39}"/>
    <cellStyle name="Normal 5 5 2 3" xfId="940" xr:uid="{00000000-0005-0000-0000-0000611B0000}"/>
    <cellStyle name="Normal 5 5 2 3 2" xfId="3174" xr:uid="{00000000-0005-0000-0000-0000621B0000}"/>
    <cellStyle name="Normal 5 5 2 3 2 2" xfId="7398" xr:uid="{00000000-0005-0000-0000-0000631B0000}"/>
    <cellStyle name="Normal 5 5 2 3 2 2 2" xfId="15827" xr:uid="{C0DBE4F3-07BC-469B-9ED5-D31FBAD613CF}"/>
    <cellStyle name="Normal 5 5 2 3 2 3" xfId="11609" xr:uid="{C69FF2A3-A694-480A-971D-D41A6B94DFA5}"/>
    <cellStyle name="Normal 5 5 2 3 3" xfId="5253" xr:uid="{00000000-0005-0000-0000-0000641B0000}"/>
    <cellStyle name="Normal 5 5 2 3 3 2" xfId="13682" xr:uid="{C992D67F-A68F-4733-B0CF-637CA90AAD52}"/>
    <cellStyle name="Normal 5 5 2 3 4" xfId="9464" xr:uid="{DE618774-BA61-4C4D-8D19-134955D57159}"/>
    <cellStyle name="Normal 5 5 2 4" xfId="1357" xr:uid="{00000000-0005-0000-0000-0000651B0000}"/>
    <cellStyle name="Normal 5 5 2 4 2" xfId="3587" xr:uid="{00000000-0005-0000-0000-0000661B0000}"/>
    <cellStyle name="Normal 5 5 2 4 2 2" xfId="7811" xr:uid="{00000000-0005-0000-0000-0000671B0000}"/>
    <cellStyle name="Normal 5 5 2 4 2 2 2" xfId="16240" xr:uid="{E58FA305-9A09-4227-BD97-9B4D52CEE8F2}"/>
    <cellStyle name="Normal 5 5 2 4 2 3" xfId="12022" xr:uid="{4FCBE6EE-31DA-42C4-B342-A4D0C8F9D279}"/>
    <cellStyle name="Normal 5 5 2 4 3" xfId="5666" xr:uid="{00000000-0005-0000-0000-0000681B0000}"/>
    <cellStyle name="Normal 5 5 2 4 3 2" xfId="14095" xr:uid="{94D32370-1B5F-4EF0-BE43-2F9790E1E4FF}"/>
    <cellStyle name="Normal 5 5 2 4 4" xfId="9877" xr:uid="{E0B435AA-6052-4864-9096-2A161A7FF835}"/>
    <cellStyle name="Normal 5 5 2 5" xfId="1770" xr:uid="{00000000-0005-0000-0000-0000691B0000}"/>
    <cellStyle name="Normal 5 5 2 5 2" xfId="4000" xr:uid="{00000000-0005-0000-0000-00006A1B0000}"/>
    <cellStyle name="Normal 5 5 2 5 2 2" xfId="8224" xr:uid="{00000000-0005-0000-0000-00006B1B0000}"/>
    <cellStyle name="Normal 5 5 2 5 2 2 2" xfId="16653" xr:uid="{0E37AF42-19CC-45C5-82A8-616F1C31E9F4}"/>
    <cellStyle name="Normal 5 5 2 5 2 3" xfId="12435" xr:uid="{1B144993-1931-489E-95A3-67D9C430054F}"/>
    <cellStyle name="Normal 5 5 2 5 3" xfId="6079" xr:uid="{00000000-0005-0000-0000-00006C1B0000}"/>
    <cellStyle name="Normal 5 5 2 5 3 2" xfId="14508" xr:uid="{3B34BB3E-8154-4ABE-9C26-2C61A0AE46BB}"/>
    <cellStyle name="Normal 5 5 2 5 4" xfId="10290" xr:uid="{909C27DB-B8EA-4D54-8C02-5EBBE4B47392}"/>
    <cellStyle name="Normal 5 5 2 6" xfId="2184" xr:uid="{00000000-0005-0000-0000-00006D1B0000}"/>
    <cellStyle name="Normal 5 5 2 6 2" xfId="4413" xr:uid="{00000000-0005-0000-0000-00006E1B0000}"/>
    <cellStyle name="Normal 5 5 2 6 2 2" xfId="8637" xr:uid="{00000000-0005-0000-0000-00006F1B0000}"/>
    <cellStyle name="Normal 5 5 2 6 2 2 2" xfId="17066" xr:uid="{048C44E8-8416-4DED-A226-E360EA2B58C7}"/>
    <cellStyle name="Normal 5 5 2 6 2 3" xfId="12848" xr:uid="{232246C7-0EE4-4166-B829-50415C7E4E9D}"/>
    <cellStyle name="Normal 5 5 2 6 3" xfId="6492" xr:uid="{00000000-0005-0000-0000-0000701B0000}"/>
    <cellStyle name="Normal 5 5 2 6 3 2" xfId="14921" xr:uid="{3FB5CBF7-C7B3-45E1-9BC8-6B0C284E7F80}"/>
    <cellStyle name="Normal 5 5 2 6 4" xfId="10703" xr:uid="{13104113-378E-4923-BE3A-525E19D4442E}"/>
    <cellStyle name="Normal 5 5 2 7" xfId="2620" xr:uid="{00000000-0005-0000-0000-0000711B0000}"/>
    <cellStyle name="Normal 5 5 2 7 2" xfId="6905" xr:uid="{00000000-0005-0000-0000-0000721B0000}"/>
    <cellStyle name="Normal 5 5 2 7 2 2" xfId="15334" xr:uid="{5BBDF832-ECF9-47D9-9325-40CDAB05E6D5}"/>
    <cellStyle name="Normal 5 5 2 7 3" xfId="11116" xr:uid="{2D9FDBBF-7FA4-49E1-A5BD-5C1169BA1152}"/>
    <cellStyle name="Normal 5 5 2 8" xfId="4840" xr:uid="{00000000-0005-0000-0000-0000731B0000}"/>
    <cellStyle name="Normal 5 5 2 8 2" xfId="13269" xr:uid="{ACDCADC2-F676-4646-9290-FCA1DDA779C0}"/>
    <cellStyle name="Normal 5 5 2 9" xfId="9051" xr:uid="{A511FAA9-9A17-4DD6-A5FD-6661613EA08B}"/>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2 2" xfId="15829" xr:uid="{F5574AB2-0FFD-406E-BE52-737C1C8BFC10}"/>
    <cellStyle name="Normal 5 5 3 2 2 3" xfId="11611" xr:uid="{88077B39-0874-4E96-BB57-DF90ADF25220}"/>
    <cellStyle name="Normal 5 5 3 2 3" xfId="5255" xr:uid="{00000000-0005-0000-0000-0000781B0000}"/>
    <cellStyle name="Normal 5 5 3 2 3 2" xfId="13684" xr:uid="{92DAB6FE-50E5-40AA-9D54-0F74F950FE30}"/>
    <cellStyle name="Normal 5 5 3 2 4" xfId="9466" xr:uid="{71F0C01C-C2D5-4C6B-9689-364EB8E8EB1E}"/>
    <cellStyle name="Normal 5 5 3 3" xfId="1359" xr:uid="{00000000-0005-0000-0000-0000791B0000}"/>
    <cellStyle name="Normal 5 5 3 3 2" xfId="3589" xr:uid="{00000000-0005-0000-0000-00007A1B0000}"/>
    <cellStyle name="Normal 5 5 3 3 2 2" xfId="7813" xr:uid="{00000000-0005-0000-0000-00007B1B0000}"/>
    <cellStyle name="Normal 5 5 3 3 2 2 2" xfId="16242" xr:uid="{DED7C5EA-A4BA-4AAC-BEF1-A0CC42C71764}"/>
    <cellStyle name="Normal 5 5 3 3 2 3" xfId="12024" xr:uid="{1C8C8F07-5853-4665-B8FC-4590B62BDCA4}"/>
    <cellStyle name="Normal 5 5 3 3 3" xfId="5668" xr:uid="{00000000-0005-0000-0000-00007C1B0000}"/>
    <cellStyle name="Normal 5 5 3 3 3 2" xfId="14097" xr:uid="{67803BD1-BF09-4DCE-9CFF-57ACD3E99FB5}"/>
    <cellStyle name="Normal 5 5 3 3 4" xfId="9879" xr:uid="{221933A9-5BBE-400B-AA08-084570EE419D}"/>
    <cellStyle name="Normal 5 5 3 4" xfId="1772" xr:uid="{00000000-0005-0000-0000-00007D1B0000}"/>
    <cellStyle name="Normal 5 5 3 4 2" xfId="4002" xr:uid="{00000000-0005-0000-0000-00007E1B0000}"/>
    <cellStyle name="Normal 5 5 3 4 2 2" xfId="8226" xr:uid="{00000000-0005-0000-0000-00007F1B0000}"/>
    <cellStyle name="Normal 5 5 3 4 2 2 2" xfId="16655" xr:uid="{233438A2-CBC4-499F-B2C1-D99635357926}"/>
    <cellStyle name="Normal 5 5 3 4 2 3" xfId="12437" xr:uid="{EF452821-6150-4304-AD02-ABFD153F0AC2}"/>
    <cellStyle name="Normal 5 5 3 4 3" xfId="6081" xr:uid="{00000000-0005-0000-0000-0000801B0000}"/>
    <cellStyle name="Normal 5 5 3 4 3 2" xfId="14510" xr:uid="{2115FC2D-6D35-466D-8339-4D2EB0ED574B}"/>
    <cellStyle name="Normal 5 5 3 4 4" xfId="10292" xr:uid="{4D843F06-32DE-4EBC-A07A-9FD4AC7235AB}"/>
    <cellStyle name="Normal 5 5 3 5" xfId="2186" xr:uid="{00000000-0005-0000-0000-0000811B0000}"/>
    <cellStyle name="Normal 5 5 3 5 2" xfId="4415" xr:uid="{00000000-0005-0000-0000-0000821B0000}"/>
    <cellStyle name="Normal 5 5 3 5 2 2" xfId="8639" xr:uid="{00000000-0005-0000-0000-0000831B0000}"/>
    <cellStyle name="Normal 5 5 3 5 2 2 2" xfId="17068" xr:uid="{0E93B855-F0B1-47EE-848D-43893926D870}"/>
    <cellStyle name="Normal 5 5 3 5 2 3" xfId="12850" xr:uid="{C54360BA-9E2E-440F-B9DC-06E68C026787}"/>
    <cellStyle name="Normal 5 5 3 5 3" xfId="6494" xr:uid="{00000000-0005-0000-0000-0000841B0000}"/>
    <cellStyle name="Normal 5 5 3 5 3 2" xfId="14923" xr:uid="{818327D8-5F16-436F-AC36-01D7ED2DD199}"/>
    <cellStyle name="Normal 5 5 3 5 4" xfId="10705" xr:uid="{60F1AD17-D73F-4E00-AD22-E89240906101}"/>
    <cellStyle name="Normal 5 5 3 6" xfId="2622" xr:uid="{00000000-0005-0000-0000-0000851B0000}"/>
    <cellStyle name="Normal 5 5 3 6 2" xfId="6907" xr:uid="{00000000-0005-0000-0000-0000861B0000}"/>
    <cellStyle name="Normal 5 5 3 6 2 2" xfId="15336" xr:uid="{1B057AD7-2721-47B0-A61D-DAF391BE769C}"/>
    <cellStyle name="Normal 5 5 3 6 3" xfId="11118" xr:uid="{321840AE-6E54-4836-B3A0-31811C0A4441}"/>
    <cellStyle name="Normal 5 5 3 7" xfId="4842" xr:uid="{00000000-0005-0000-0000-0000871B0000}"/>
    <cellStyle name="Normal 5 5 3 7 2" xfId="13271" xr:uid="{19618B8B-A8B5-4C74-8444-CD7E7C7848A1}"/>
    <cellStyle name="Normal 5 5 3 8" xfId="9053" xr:uid="{62ECF1BF-AE63-4FC4-99B3-B2E6BD888952}"/>
    <cellStyle name="Normal 5 5 4" xfId="939" xr:uid="{00000000-0005-0000-0000-0000881B0000}"/>
    <cellStyle name="Normal 5 5 4 2" xfId="3173" xr:uid="{00000000-0005-0000-0000-0000891B0000}"/>
    <cellStyle name="Normal 5 5 4 2 2" xfId="7397" xr:uid="{00000000-0005-0000-0000-00008A1B0000}"/>
    <cellStyle name="Normal 5 5 4 2 2 2" xfId="15826" xr:uid="{5651BBD0-C168-453C-9DCF-884E352427CA}"/>
    <cellStyle name="Normal 5 5 4 2 3" xfId="11608" xr:uid="{0992D114-FC64-4D85-901D-51A4899828B0}"/>
    <cellStyle name="Normal 5 5 4 3" xfId="5252" xr:uid="{00000000-0005-0000-0000-00008B1B0000}"/>
    <cellStyle name="Normal 5 5 4 3 2" xfId="13681" xr:uid="{81CAB8BA-D28C-4701-BF92-00E33052171F}"/>
    <cellStyle name="Normal 5 5 4 4" xfId="9463" xr:uid="{0D8F1F57-8C8C-4D27-8210-2F39AF5E270C}"/>
    <cellStyle name="Normal 5 5 5" xfId="1356" xr:uid="{00000000-0005-0000-0000-00008C1B0000}"/>
    <cellStyle name="Normal 5 5 5 2" xfId="3586" xr:uid="{00000000-0005-0000-0000-00008D1B0000}"/>
    <cellStyle name="Normal 5 5 5 2 2" xfId="7810" xr:uid="{00000000-0005-0000-0000-00008E1B0000}"/>
    <cellStyle name="Normal 5 5 5 2 2 2" xfId="16239" xr:uid="{AF0D191A-E2B3-4223-A46D-EED3955B5112}"/>
    <cellStyle name="Normal 5 5 5 2 3" xfId="12021" xr:uid="{5636DF3A-5FFC-481E-ADFD-E420BD303F59}"/>
    <cellStyle name="Normal 5 5 5 3" xfId="5665" xr:uid="{00000000-0005-0000-0000-00008F1B0000}"/>
    <cellStyle name="Normal 5 5 5 3 2" xfId="14094" xr:uid="{0EB958B1-6627-44E5-A392-7067DE5E9739}"/>
    <cellStyle name="Normal 5 5 5 4" xfId="9876" xr:uid="{436F0330-838E-4B69-A0FE-B5E88D44EC70}"/>
    <cellStyle name="Normal 5 5 6" xfId="1769" xr:uid="{00000000-0005-0000-0000-0000901B0000}"/>
    <cellStyle name="Normal 5 5 6 2" xfId="3999" xr:uid="{00000000-0005-0000-0000-0000911B0000}"/>
    <cellStyle name="Normal 5 5 6 2 2" xfId="8223" xr:uid="{00000000-0005-0000-0000-0000921B0000}"/>
    <cellStyle name="Normal 5 5 6 2 2 2" xfId="16652" xr:uid="{E4084F5D-510E-4967-B609-1BE69EA9B260}"/>
    <cellStyle name="Normal 5 5 6 2 3" xfId="12434" xr:uid="{20BC94C9-4DD1-4511-AB8C-1D4EC43A4143}"/>
    <cellStyle name="Normal 5 5 6 3" xfId="6078" xr:uid="{00000000-0005-0000-0000-0000931B0000}"/>
    <cellStyle name="Normal 5 5 6 3 2" xfId="14507" xr:uid="{72D86708-D99A-42B2-8E42-2096CAA2F43C}"/>
    <cellStyle name="Normal 5 5 6 4" xfId="10289" xr:uid="{0B4EEF28-727F-4C06-933C-84F9F38F7C0E}"/>
    <cellStyle name="Normal 5 5 7" xfId="2183" xr:uid="{00000000-0005-0000-0000-0000941B0000}"/>
    <cellStyle name="Normal 5 5 7 2" xfId="4412" xr:uid="{00000000-0005-0000-0000-0000951B0000}"/>
    <cellStyle name="Normal 5 5 7 2 2" xfId="8636" xr:uid="{00000000-0005-0000-0000-0000961B0000}"/>
    <cellStyle name="Normal 5 5 7 2 2 2" xfId="17065" xr:uid="{C4271A6F-5858-47A0-923D-3622A80D7679}"/>
    <cellStyle name="Normal 5 5 7 2 3" xfId="12847" xr:uid="{43FCB490-9B31-4EE6-B464-F10934D95C77}"/>
    <cellStyle name="Normal 5 5 7 3" xfId="6491" xr:uid="{00000000-0005-0000-0000-0000971B0000}"/>
    <cellStyle name="Normal 5 5 7 3 2" xfId="14920" xr:uid="{809A6CF9-CBB6-4D7E-9111-4F6A94A04E89}"/>
    <cellStyle name="Normal 5 5 7 4" xfId="10702" xr:uid="{3B4BF832-E1EB-44DA-B4C6-2FDF463D9CAC}"/>
    <cellStyle name="Normal 5 5 8" xfId="2619" xr:uid="{00000000-0005-0000-0000-0000981B0000}"/>
    <cellStyle name="Normal 5 5 8 2" xfId="6904" xr:uid="{00000000-0005-0000-0000-0000991B0000}"/>
    <cellStyle name="Normal 5 5 8 2 2" xfId="15333" xr:uid="{C5A5BACC-B6E4-41A0-AB5D-3AC02394AF3B}"/>
    <cellStyle name="Normal 5 5 8 3" xfId="11115" xr:uid="{2B8476AA-73F8-4069-88FB-83D0FFD3F8B8}"/>
    <cellStyle name="Normal 5 5 9" xfId="4839" xr:uid="{00000000-0005-0000-0000-00009A1B0000}"/>
    <cellStyle name="Normal 5 5 9 2" xfId="13268" xr:uid="{89A57E62-F927-427B-BDC6-AB833523774E}"/>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2 2" xfId="15831" xr:uid="{0CC6BC79-AFE5-4066-82CA-4D9518113939}"/>
    <cellStyle name="Normal 5 6 2 2 2 3" xfId="11613" xr:uid="{647FD5F7-02D9-4A34-889F-35F77FDE6808}"/>
    <cellStyle name="Normal 5 6 2 2 3" xfId="5257" xr:uid="{00000000-0005-0000-0000-0000A01B0000}"/>
    <cellStyle name="Normal 5 6 2 2 3 2" xfId="13686" xr:uid="{A5878A71-CDE3-4FAC-BDC4-7DE4589BF3DC}"/>
    <cellStyle name="Normal 5 6 2 2 4" xfId="9468" xr:uid="{766957DE-2D57-4FD4-89E1-4F360411586D}"/>
    <cellStyle name="Normal 5 6 2 3" xfId="1361" xr:uid="{00000000-0005-0000-0000-0000A11B0000}"/>
    <cellStyle name="Normal 5 6 2 3 2" xfId="3591" xr:uid="{00000000-0005-0000-0000-0000A21B0000}"/>
    <cellStyle name="Normal 5 6 2 3 2 2" xfId="7815" xr:uid="{00000000-0005-0000-0000-0000A31B0000}"/>
    <cellStyle name="Normal 5 6 2 3 2 2 2" xfId="16244" xr:uid="{66EFD47E-A1BE-489E-8A56-53C7454D7CDB}"/>
    <cellStyle name="Normal 5 6 2 3 2 3" xfId="12026" xr:uid="{3DB4A399-ED5A-4AEC-BF49-3843879F04B7}"/>
    <cellStyle name="Normal 5 6 2 3 3" xfId="5670" xr:uid="{00000000-0005-0000-0000-0000A41B0000}"/>
    <cellStyle name="Normal 5 6 2 3 3 2" xfId="14099" xr:uid="{413AA940-5BF1-4CF3-A9E6-0F6566FC81A4}"/>
    <cellStyle name="Normal 5 6 2 3 4" xfId="9881" xr:uid="{1EC109C9-4ADD-4D42-9C28-0FB14F3EFE88}"/>
    <cellStyle name="Normal 5 6 2 4" xfId="1774" xr:uid="{00000000-0005-0000-0000-0000A51B0000}"/>
    <cellStyle name="Normal 5 6 2 4 2" xfId="4004" xr:uid="{00000000-0005-0000-0000-0000A61B0000}"/>
    <cellStyle name="Normal 5 6 2 4 2 2" xfId="8228" xr:uid="{00000000-0005-0000-0000-0000A71B0000}"/>
    <cellStyle name="Normal 5 6 2 4 2 2 2" xfId="16657" xr:uid="{896168A7-920C-4EB2-A54E-000E9B3837C1}"/>
    <cellStyle name="Normal 5 6 2 4 2 3" xfId="12439" xr:uid="{31986E1A-F8BB-4DB2-83D7-A2CAA6AE9F24}"/>
    <cellStyle name="Normal 5 6 2 4 3" xfId="6083" xr:uid="{00000000-0005-0000-0000-0000A81B0000}"/>
    <cellStyle name="Normal 5 6 2 4 3 2" xfId="14512" xr:uid="{25A8C0F9-8339-48C5-8CA9-BBA5962D2F94}"/>
    <cellStyle name="Normal 5 6 2 4 4" xfId="10294" xr:uid="{9ECF3C33-7AEB-4739-8C12-492207581609}"/>
    <cellStyle name="Normal 5 6 2 5" xfId="2188" xr:uid="{00000000-0005-0000-0000-0000A91B0000}"/>
    <cellStyle name="Normal 5 6 2 5 2" xfId="4417" xr:uid="{00000000-0005-0000-0000-0000AA1B0000}"/>
    <cellStyle name="Normal 5 6 2 5 2 2" xfId="8641" xr:uid="{00000000-0005-0000-0000-0000AB1B0000}"/>
    <cellStyle name="Normal 5 6 2 5 2 2 2" xfId="17070" xr:uid="{8ECA6D1C-FE15-475C-A54B-CBABEFCB7332}"/>
    <cellStyle name="Normal 5 6 2 5 2 3" xfId="12852" xr:uid="{50FD1DC4-1E02-408C-A7BD-5B087690F68F}"/>
    <cellStyle name="Normal 5 6 2 5 3" xfId="6496" xr:uid="{00000000-0005-0000-0000-0000AC1B0000}"/>
    <cellStyle name="Normal 5 6 2 5 3 2" xfId="14925" xr:uid="{425AF627-78CF-446B-A969-61820A659620}"/>
    <cellStyle name="Normal 5 6 2 5 4" xfId="10707" xr:uid="{31EEFCDE-42F1-4E8C-B769-8169964F35BA}"/>
    <cellStyle name="Normal 5 6 2 6" xfId="2624" xr:uid="{00000000-0005-0000-0000-0000AD1B0000}"/>
    <cellStyle name="Normal 5 6 2 6 2" xfId="6909" xr:uid="{00000000-0005-0000-0000-0000AE1B0000}"/>
    <cellStyle name="Normal 5 6 2 6 2 2" xfId="15338" xr:uid="{93736EC4-F6A5-404E-8298-04104C6D1387}"/>
    <cellStyle name="Normal 5 6 2 6 3" xfId="11120" xr:uid="{88E12283-5BDF-4E15-B1D4-8E7B67C45FAC}"/>
    <cellStyle name="Normal 5 6 2 7" xfId="4844" xr:uid="{00000000-0005-0000-0000-0000AF1B0000}"/>
    <cellStyle name="Normal 5 6 2 7 2" xfId="13273" xr:uid="{B53B3A80-4461-4D41-BD51-D39E2BF4B703}"/>
    <cellStyle name="Normal 5 6 2 8" xfId="9055" xr:uid="{431AF332-1543-4741-AE47-4DC8785029ED}"/>
    <cellStyle name="Normal 5 6 3" xfId="943" xr:uid="{00000000-0005-0000-0000-0000B01B0000}"/>
    <cellStyle name="Normal 5 6 3 2" xfId="3177" xr:uid="{00000000-0005-0000-0000-0000B11B0000}"/>
    <cellStyle name="Normal 5 6 3 2 2" xfId="7401" xr:uid="{00000000-0005-0000-0000-0000B21B0000}"/>
    <cellStyle name="Normal 5 6 3 2 2 2" xfId="15830" xr:uid="{F27C77BE-063F-4893-8FEE-25102C346989}"/>
    <cellStyle name="Normal 5 6 3 2 3" xfId="11612" xr:uid="{80671998-4932-48E0-BE2B-8D6953F6248C}"/>
    <cellStyle name="Normal 5 6 3 3" xfId="5256" xr:uid="{00000000-0005-0000-0000-0000B31B0000}"/>
    <cellStyle name="Normal 5 6 3 3 2" xfId="13685" xr:uid="{BFBDB961-90C6-41EE-B9B0-60FAF08F85C0}"/>
    <cellStyle name="Normal 5 6 3 4" xfId="9467" xr:uid="{99B2513E-86F2-4BA1-B013-CD2BAA38BB99}"/>
    <cellStyle name="Normal 5 6 4" xfId="1360" xr:uid="{00000000-0005-0000-0000-0000B41B0000}"/>
    <cellStyle name="Normal 5 6 4 2" xfId="3590" xr:uid="{00000000-0005-0000-0000-0000B51B0000}"/>
    <cellStyle name="Normal 5 6 4 2 2" xfId="7814" xr:uid="{00000000-0005-0000-0000-0000B61B0000}"/>
    <cellStyle name="Normal 5 6 4 2 2 2" xfId="16243" xr:uid="{8426D5D5-EF6F-4E7D-A11C-44E18ACA524B}"/>
    <cellStyle name="Normal 5 6 4 2 3" xfId="12025" xr:uid="{B63571E0-3718-4D82-A7B4-B10976D6EB04}"/>
    <cellStyle name="Normal 5 6 4 3" xfId="5669" xr:uid="{00000000-0005-0000-0000-0000B71B0000}"/>
    <cellStyle name="Normal 5 6 4 3 2" xfId="14098" xr:uid="{D7DA9CDE-E25D-41EF-9C3F-35B1370DD69F}"/>
    <cellStyle name="Normal 5 6 4 4" xfId="9880" xr:uid="{2694856E-F080-44D4-960C-26FAE75915A5}"/>
    <cellStyle name="Normal 5 6 5" xfId="1773" xr:uid="{00000000-0005-0000-0000-0000B81B0000}"/>
    <cellStyle name="Normal 5 6 5 2" xfId="4003" xr:uid="{00000000-0005-0000-0000-0000B91B0000}"/>
    <cellStyle name="Normal 5 6 5 2 2" xfId="8227" xr:uid="{00000000-0005-0000-0000-0000BA1B0000}"/>
    <cellStyle name="Normal 5 6 5 2 2 2" xfId="16656" xr:uid="{9DB38E7E-7039-40FB-966A-8B6773BB3C03}"/>
    <cellStyle name="Normal 5 6 5 2 3" xfId="12438" xr:uid="{AD5DB5DF-17FB-4824-99C3-5FF77449DCF7}"/>
    <cellStyle name="Normal 5 6 5 3" xfId="6082" xr:uid="{00000000-0005-0000-0000-0000BB1B0000}"/>
    <cellStyle name="Normal 5 6 5 3 2" xfId="14511" xr:uid="{E52A7A4F-6D65-4A3E-9782-69CBFE92B49B}"/>
    <cellStyle name="Normal 5 6 5 4" xfId="10293" xr:uid="{84844DAD-0B6B-43F8-B057-B017A092AB42}"/>
    <cellStyle name="Normal 5 6 6" xfId="2187" xr:uid="{00000000-0005-0000-0000-0000BC1B0000}"/>
    <cellStyle name="Normal 5 6 6 2" xfId="4416" xr:uid="{00000000-0005-0000-0000-0000BD1B0000}"/>
    <cellStyle name="Normal 5 6 6 2 2" xfId="8640" xr:uid="{00000000-0005-0000-0000-0000BE1B0000}"/>
    <cellStyle name="Normal 5 6 6 2 2 2" xfId="17069" xr:uid="{722268B7-0BFD-4D3B-8A16-49C1FE5E59FD}"/>
    <cellStyle name="Normal 5 6 6 2 3" xfId="12851" xr:uid="{E317D07A-247D-4FF2-8DC9-28022A88BC3B}"/>
    <cellStyle name="Normal 5 6 6 3" xfId="6495" xr:uid="{00000000-0005-0000-0000-0000BF1B0000}"/>
    <cellStyle name="Normal 5 6 6 3 2" xfId="14924" xr:uid="{6C48B407-2CE7-4898-8591-61B95480E42F}"/>
    <cellStyle name="Normal 5 6 6 4" xfId="10706" xr:uid="{115A1424-D338-433F-A7E7-2F52AC65781B}"/>
    <cellStyle name="Normal 5 6 7" xfId="2623" xr:uid="{00000000-0005-0000-0000-0000C01B0000}"/>
    <cellStyle name="Normal 5 6 7 2" xfId="6908" xr:uid="{00000000-0005-0000-0000-0000C11B0000}"/>
    <cellStyle name="Normal 5 6 7 2 2" xfId="15337" xr:uid="{310D46B5-6D65-44EA-B7A4-2DE174751244}"/>
    <cellStyle name="Normal 5 6 7 3" xfId="11119" xr:uid="{4DEC7186-700E-45EC-BFAB-8AF580250863}"/>
    <cellStyle name="Normal 5 6 8" xfId="4843" xr:uid="{00000000-0005-0000-0000-0000C21B0000}"/>
    <cellStyle name="Normal 5 6 8 2" xfId="13272" xr:uid="{85D97263-9AAE-4DBD-8D82-679E9E412F85}"/>
    <cellStyle name="Normal 5 6 9" xfId="9054" xr:uid="{0AC50501-9381-4E51-B31D-D5AE03A2AF01}"/>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2 2" xfId="15832" xr:uid="{02655D0D-7068-4877-8A2B-440B1365E0D2}"/>
    <cellStyle name="Normal 5 7 2 2 3" xfId="11614" xr:uid="{C7362BA1-F1D4-4050-BA5C-B4DBCDCF1658}"/>
    <cellStyle name="Normal 5 7 2 3" xfId="5258" xr:uid="{00000000-0005-0000-0000-0000C71B0000}"/>
    <cellStyle name="Normal 5 7 2 3 2" xfId="13687" xr:uid="{E851CC58-AD86-48C5-8C92-B4BC98613761}"/>
    <cellStyle name="Normal 5 7 2 4" xfId="9469" xr:uid="{0DBAA4A7-778E-4AB8-8EA7-EBF754A59F96}"/>
    <cellStyle name="Normal 5 7 3" xfId="1362" xr:uid="{00000000-0005-0000-0000-0000C81B0000}"/>
    <cellStyle name="Normal 5 7 3 2" xfId="3592" xr:uid="{00000000-0005-0000-0000-0000C91B0000}"/>
    <cellStyle name="Normal 5 7 3 2 2" xfId="7816" xr:uid="{00000000-0005-0000-0000-0000CA1B0000}"/>
    <cellStyle name="Normal 5 7 3 2 2 2" xfId="16245" xr:uid="{06CCED1C-BE13-4783-8070-CB198BBB4FCC}"/>
    <cellStyle name="Normal 5 7 3 2 3" xfId="12027" xr:uid="{B251193A-0A37-4A9B-9C13-8AB5C4AA45A7}"/>
    <cellStyle name="Normal 5 7 3 3" xfId="5671" xr:uid="{00000000-0005-0000-0000-0000CB1B0000}"/>
    <cellStyle name="Normal 5 7 3 3 2" xfId="14100" xr:uid="{D5A79CF8-2379-4C74-9EC9-2888C0193B3E}"/>
    <cellStyle name="Normal 5 7 3 4" xfId="9882" xr:uid="{CE7208D5-B5BB-4901-97FB-288271611A0D}"/>
    <cellStyle name="Normal 5 7 4" xfId="1775" xr:uid="{00000000-0005-0000-0000-0000CC1B0000}"/>
    <cellStyle name="Normal 5 7 4 2" xfId="4005" xr:uid="{00000000-0005-0000-0000-0000CD1B0000}"/>
    <cellStyle name="Normal 5 7 4 2 2" xfId="8229" xr:uid="{00000000-0005-0000-0000-0000CE1B0000}"/>
    <cellStyle name="Normal 5 7 4 2 2 2" xfId="16658" xr:uid="{7063D8C1-BCA0-4A8E-B846-A14643C6802E}"/>
    <cellStyle name="Normal 5 7 4 2 3" xfId="12440" xr:uid="{CC1AA540-6401-4DD5-A4B7-EB984A75A881}"/>
    <cellStyle name="Normal 5 7 4 3" xfId="6084" xr:uid="{00000000-0005-0000-0000-0000CF1B0000}"/>
    <cellStyle name="Normal 5 7 4 3 2" xfId="14513" xr:uid="{6BB7599C-5C52-4259-B54D-E8BC6F7FB511}"/>
    <cellStyle name="Normal 5 7 4 4" xfId="10295" xr:uid="{B26060E6-B9EC-4004-803A-DD4759DAE706}"/>
    <cellStyle name="Normal 5 7 5" xfId="2189" xr:uid="{00000000-0005-0000-0000-0000D01B0000}"/>
    <cellStyle name="Normal 5 7 5 2" xfId="4418" xr:uid="{00000000-0005-0000-0000-0000D11B0000}"/>
    <cellStyle name="Normal 5 7 5 2 2" xfId="8642" xr:uid="{00000000-0005-0000-0000-0000D21B0000}"/>
    <cellStyle name="Normal 5 7 5 2 2 2" xfId="17071" xr:uid="{06189183-1540-4FCD-A379-BBB5EE7F1292}"/>
    <cellStyle name="Normal 5 7 5 2 3" xfId="12853" xr:uid="{CCA58261-5A87-4862-82E8-2798BEFAB441}"/>
    <cellStyle name="Normal 5 7 5 3" xfId="6497" xr:uid="{00000000-0005-0000-0000-0000D31B0000}"/>
    <cellStyle name="Normal 5 7 5 3 2" xfId="14926" xr:uid="{2AC876C4-406B-453D-B0F3-75A25666849B}"/>
    <cellStyle name="Normal 5 7 5 4" xfId="10708" xr:uid="{ED2E9295-7961-45E9-867A-7383288B2A2A}"/>
    <cellStyle name="Normal 5 7 6" xfId="2625" xr:uid="{00000000-0005-0000-0000-0000D41B0000}"/>
    <cellStyle name="Normal 5 7 6 2" xfId="6910" xr:uid="{00000000-0005-0000-0000-0000D51B0000}"/>
    <cellStyle name="Normal 5 7 6 2 2" xfId="15339" xr:uid="{32CE3BDD-1D87-429B-9EBA-8EB484676A90}"/>
    <cellStyle name="Normal 5 7 6 3" xfId="11121" xr:uid="{994E15CB-D65A-4924-9CC1-F571FC09D4EB}"/>
    <cellStyle name="Normal 5 7 7" xfId="4845" xr:uid="{00000000-0005-0000-0000-0000D61B0000}"/>
    <cellStyle name="Normal 5 7 7 2" xfId="13274" xr:uid="{0EB804B4-F2E8-46A0-8E59-03E1CFE547EC}"/>
    <cellStyle name="Normal 5 7 8" xfId="9056" xr:uid="{D5275051-8D7D-4C3C-B840-260CFB042090}"/>
    <cellStyle name="Normal 5 8" xfId="881" xr:uid="{00000000-0005-0000-0000-0000D71B0000}"/>
    <cellStyle name="Normal 5 8 2" xfId="3116" xr:uid="{00000000-0005-0000-0000-0000D81B0000}"/>
    <cellStyle name="Normal 5 8 2 2" xfId="7340" xr:uid="{00000000-0005-0000-0000-0000D91B0000}"/>
    <cellStyle name="Normal 5 8 2 2 2" xfId="15769" xr:uid="{11DD8473-587D-4423-BC67-0F6D1323857C}"/>
    <cellStyle name="Normal 5 8 2 3" xfId="11551" xr:uid="{2F6319DE-EF40-409E-BB0B-A19CAA57A722}"/>
    <cellStyle name="Normal 5 8 3" xfId="5195" xr:uid="{00000000-0005-0000-0000-0000DA1B0000}"/>
    <cellStyle name="Normal 5 8 3 2" xfId="13624" xr:uid="{41A6A56C-4587-4B28-B486-34EAB3C6B719}"/>
    <cellStyle name="Normal 5 8 4" xfId="9406" xr:uid="{ACC38484-537E-4EC1-A9D5-15CF4CA39166}"/>
    <cellStyle name="Normal 5 9" xfId="1299" xr:uid="{00000000-0005-0000-0000-0000DB1B0000}"/>
    <cellStyle name="Normal 5 9 2" xfId="3529" xr:uid="{00000000-0005-0000-0000-0000DC1B0000}"/>
    <cellStyle name="Normal 5 9 2 2" xfId="7753" xr:uid="{00000000-0005-0000-0000-0000DD1B0000}"/>
    <cellStyle name="Normal 5 9 2 2 2" xfId="16182" xr:uid="{A2FBF62D-BE9A-455B-949D-51C4696BF2AB}"/>
    <cellStyle name="Normal 5 9 2 3" xfId="11964" xr:uid="{66A311A8-6A42-4608-935F-CCBEF17865BF}"/>
    <cellStyle name="Normal 5 9 3" xfId="5608" xr:uid="{00000000-0005-0000-0000-0000DE1B0000}"/>
    <cellStyle name="Normal 5 9 3 2" xfId="14037" xr:uid="{22E2395C-557E-4821-954F-9E440F3DF7AD}"/>
    <cellStyle name="Normal 5 9 4" xfId="9819" xr:uid="{F97EB8C2-8A22-4A7F-9C19-CBA35D1731DA}"/>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2 2" xfId="17072" xr:uid="{41B88B80-C6CA-4667-AAEE-0F0CD1EA6547}"/>
    <cellStyle name="Normal 8 10 2 3" xfId="12854" xr:uid="{F39F9040-FE7C-4AAB-8FA9-1173DBD6B10C}"/>
    <cellStyle name="Normal 8 10 3" xfId="6498" xr:uid="{00000000-0005-0000-0000-0000EA1B0000}"/>
    <cellStyle name="Normal 8 10 3 2" xfId="14927" xr:uid="{C2EDF529-CC77-44E8-8CEE-F893D77CE4E0}"/>
    <cellStyle name="Normal 8 10 4" xfId="10709" xr:uid="{29991A05-1D8A-45E1-9FC5-0DA884E4C39A}"/>
    <cellStyle name="Normal 8 11" xfId="2626" xr:uid="{00000000-0005-0000-0000-0000EB1B0000}"/>
    <cellStyle name="Normal 8 11 2" xfId="6911" xr:uid="{00000000-0005-0000-0000-0000EC1B0000}"/>
    <cellStyle name="Normal 8 11 2 2" xfId="15340" xr:uid="{9900FA8F-2C25-4C5D-AFB1-128471364AAD}"/>
    <cellStyle name="Normal 8 11 3" xfId="11122" xr:uid="{A6127D2E-3BBA-48B5-9551-904E0CDBF8AE}"/>
    <cellStyle name="Normal 8 12" xfId="4846" xr:uid="{00000000-0005-0000-0000-0000ED1B0000}"/>
    <cellStyle name="Normal 8 12 2" xfId="13275" xr:uid="{524A2AA5-9E99-418D-B71B-2BCFD29FCB66}"/>
    <cellStyle name="Normal 8 13" xfId="9057" xr:uid="{8C69B3E0-8EE0-4DF9-BAD8-8FF4CE5702FC}"/>
    <cellStyle name="Normal 8 2" xfId="479" xr:uid="{00000000-0005-0000-0000-0000EE1B0000}"/>
    <cellStyle name="Normal 8 2 10" xfId="2627" xr:uid="{00000000-0005-0000-0000-0000EF1B0000}"/>
    <cellStyle name="Normal 8 2 10 2" xfId="6912" xr:uid="{00000000-0005-0000-0000-0000F01B0000}"/>
    <cellStyle name="Normal 8 2 10 2 2" xfId="15341" xr:uid="{889632E3-F80E-49A9-9707-87D4BB2CD6DB}"/>
    <cellStyle name="Normal 8 2 10 3" xfId="11123" xr:uid="{E8935D7D-05CD-489A-95A5-FB7938E33AC3}"/>
    <cellStyle name="Normal 8 2 11" xfId="4847" xr:uid="{00000000-0005-0000-0000-0000F11B0000}"/>
    <cellStyle name="Normal 8 2 11 2" xfId="13276" xr:uid="{EBD14126-67E7-4201-A3BC-D2D058201F2D}"/>
    <cellStyle name="Normal 8 2 12" xfId="9058" xr:uid="{AE8005D2-EA16-40A0-84AF-DCE0C04808DB}"/>
    <cellStyle name="Normal 8 2 2" xfId="480" xr:uid="{00000000-0005-0000-0000-0000F21B0000}"/>
    <cellStyle name="Normal 8 2 2 10" xfId="4848" xr:uid="{00000000-0005-0000-0000-0000F31B0000}"/>
    <cellStyle name="Normal 8 2 2 10 2" xfId="13277" xr:uid="{B0BA6D84-DDD6-44D7-A0EA-0406ADD97616}"/>
    <cellStyle name="Normal 8 2 2 11" xfId="9059" xr:uid="{2AD9DCB1-D37E-4A07-9DC2-EDB49274D42C}"/>
    <cellStyle name="Normal 8 2 2 2" xfId="481" xr:uid="{00000000-0005-0000-0000-0000F41B0000}"/>
    <cellStyle name="Normal 8 2 2 2 10" xfId="9060" xr:uid="{EC1B4334-6EF4-49A4-A983-BCAC2CD5EFED}"/>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2 2" xfId="15838" xr:uid="{B5D3A78C-18CE-4C96-B4BC-0CC933E76745}"/>
    <cellStyle name="Normal 8 2 2 2 2 2 2 2 3" xfId="11620" xr:uid="{D18EF950-548A-4A94-AF1E-C791627F6FD9}"/>
    <cellStyle name="Normal 8 2 2 2 2 2 2 3" xfId="5264" xr:uid="{00000000-0005-0000-0000-0000FA1B0000}"/>
    <cellStyle name="Normal 8 2 2 2 2 2 2 3 2" xfId="13693" xr:uid="{8A7BCBDF-E5D7-4350-AADB-9730170E7E7E}"/>
    <cellStyle name="Normal 8 2 2 2 2 2 2 4" xfId="9475" xr:uid="{E90C7A87-B432-4F00-8E48-34C687CEA506}"/>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2 2" xfId="16251" xr:uid="{1462AFE6-BBFD-4C7E-9CF5-DD16635AD62F}"/>
    <cellStyle name="Normal 8 2 2 2 2 2 3 2 3" xfId="12033" xr:uid="{44D01DE6-FDA2-4DCE-9429-7525855D0D2B}"/>
    <cellStyle name="Normal 8 2 2 2 2 2 3 3" xfId="5677" xr:uid="{00000000-0005-0000-0000-0000FE1B0000}"/>
    <cellStyle name="Normal 8 2 2 2 2 2 3 3 2" xfId="14106" xr:uid="{083181A7-C20D-4644-BE6E-180FF20A356A}"/>
    <cellStyle name="Normal 8 2 2 2 2 2 3 4" xfId="9888" xr:uid="{04B7DB75-C7EB-4031-9647-01143ECA4C28}"/>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2 2" xfId="16664" xr:uid="{44A0710E-215D-40EF-B0B3-B563A2BED8E6}"/>
    <cellStyle name="Normal 8 2 2 2 2 2 4 2 3" xfId="12446" xr:uid="{E69E7E41-9B9F-498A-B182-6120D1BDBE56}"/>
    <cellStyle name="Normal 8 2 2 2 2 2 4 3" xfId="6090" xr:uid="{00000000-0005-0000-0000-0000021C0000}"/>
    <cellStyle name="Normal 8 2 2 2 2 2 4 3 2" xfId="14519" xr:uid="{F4125694-E0D6-49C7-9752-F0E62C183D8F}"/>
    <cellStyle name="Normal 8 2 2 2 2 2 4 4" xfId="10301" xr:uid="{A21866EB-3358-4D6D-8AA1-F79BE3A6CB9A}"/>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2 2" xfId="17077" xr:uid="{64AC7AA9-D918-4594-BBEB-9648CB2D0D75}"/>
    <cellStyle name="Normal 8 2 2 2 2 2 5 2 3" xfId="12859" xr:uid="{F2896DC8-2BDE-42DA-A34D-CB87C3C9877F}"/>
    <cellStyle name="Normal 8 2 2 2 2 2 5 3" xfId="6503" xr:uid="{00000000-0005-0000-0000-0000061C0000}"/>
    <cellStyle name="Normal 8 2 2 2 2 2 5 3 2" xfId="14932" xr:uid="{FE2FEA15-4552-42B8-8388-30490338046C}"/>
    <cellStyle name="Normal 8 2 2 2 2 2 5 4" xfId="10714" xr:uid="{EE4B55DF-3E7F-4CB3-9C52-34159C0342C2}"/>
    <cellStyle name="Normal 8 2 2 2 2 2 6" xfId="2631" xr:uid="{00000000-0005-0000-0000-0000071C0000}"/>
    <cellStyle name="Normal 8 2 2 2 2 2 6 2" xfId="6916" xr:uid="{00000000-0005-0000-0000-0000081C0000}"/>
    <cellStyle name="Normal 8 2 2 2 2 2 6 2 2" xfId="15345" xr:uid="{B967E4D2-FC17-4048-9183-284952BBD975}"/>
    <cellStyle name="Normal 8 2 2 2 2 2 6 3" xfId="11127" xr:uid="{BFD27549-E763-423B-B57B-95CE10BEF8A9}"/>
    <cellStyle name="Normal 8 2 2 2 2 2 7" xfId="4851" xr:uid="{00000000-0005-0000-0000-0000091C0000}"/>
    <cellStyle name="Normal 8 2 2 2 2 2 7 2" xfId="13280" xr:uid="{50347EF5-E159-4649-A4B0-C151CF317456}"/>
    <cellStyle name="Normal 8 2 2 2 2 2 8" xfId="9062" xr:uid="{6AB67C9B-D1A2-4191-88AB-B3FCED180974}"/>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2 2" xfId="15837" xr:uid="{DD6AFA95-FC40-4909-B4B0-252CC77598DE}"/>
    <cellStyle name="Normal 8 2 2 2 2 3 2 3" xfId="11619" xr:uid="{A07CD524-DD86-4A9F-94D4-F71268A0258A}"/>
    <cellStyle name="Normal 8 2 2 2 2 3 3" xfId="5263" xr:uid="{00000000-0005-0000-0000-00000D1C0000}"/>
    <cellStyle name="Normal 8 2 2 2 2 3 3 2" xfId="13692" xr:uid="{DEC6CB40-A064-4A87-A18D-3C27DB27DC1B}"/>
    <cellStyle name="Normal 8 2 2 2 2 3 4" xfId="9474" xr:uid="{1BD39175-7E9A-4EC0-BDBF-03CA6953B2D2}"/>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2 2" xfId="16250" xr:uid="{57252348-0D51-4F04-A4CA-DB5A08C22417}"/>
    <cellStyle name="Normal 8 2 2 2 2 4 2 3" xfId="12032" xr:uid="{FF07F94C-2537-4D55-B31F-34488D000FEF}"/>
    <cellStyle name="Normal 8 2 2 2 2 4 3" xfId="5676" xr:uid="{00000000-0005-0000-0000-0000111C0000}"/>
    <cellStyle name="Normal 8 2 2 2 2 4 3 2" xfId="14105" xr:uid="{B6EB8658-C422-4462-A769-3A0364E2580C}"/>
    <cellStyle name="Normal 8 2 2 2 2 4 4" xfId="9887" xr:uid="{83740E55-B2C1-4F81-825A-17DD430949D4}"/>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2 2" xfId="16663" xr:uid="{BA31C91D-B049-4487-87D0-5912AD35C4E7}"/>
    <cellStyle name="Normal 8 2 2 2 2 5 2 3" xfId="12445" xr:uid="{B531F513-5018-4A3B-B861-485A4942590B}"/>
    <cellStyle name="Normal 8 2 2 2 2 5 3" xfId="6089" xr:uid="{00000000-0005-0000-0000-0000151C0000}"/>
    <cellStyle name="Normal 8 2 2 2 2 5 3 2" xfId="14518" xr:uid="{88492850-DAE3-49F2-AE0E-859D182B8F07}"/>
    <cellStyle name="Normal 8 2 2 2 2 5 4" xfId="10300" xr:uid="{2BAFC929-777E-4CE2-905F-A4CD78280B1B}"/>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2 2" xfId="17076" xr:uid="{5FAA2AB9-7318-4A11-9639-C95527B8B34D}"/>
    <cellStyle name="Normal 8 2 2 2 2 6 2 3" xfId="12858" xr:uid="{0B6E366C-F9CB-436E-B09E-CC34F57D7B0B}"/>
    <cellStyle name="Normal 8 2 2 2 2 6 3" xfId="6502" xr:uid="{00000000-0005-0000-0000-0000191C0000}"/>
    <cellStyle name="Normal 8 2 2 2 2 6 3 2" xfId="14931" xr:uid="{0FC594B5-298C-4D32-93EC-043ED79AE944}"/>
    <cellStyle name="Normal 8 2 2 2 2 6 4" xfId="10713" xr:uid="{EF7D69F3-39DB-4EFA-AC84-B2FC549C6596}"/>
    <cellStyle name="Normal 8 2 2 2 2 7" xfId="2630" xr:uid="{00000000-0005-0000-0000-00001A1C0000}"/>
    <cellStyle name="Normal 8 2 2 2 2 7 2" xfId="6915" xr:uid="{00000000-0005-0000-0000-00001B1C0000}"/>
    <cellStyle name="Normal 8 2 2 2 2 7 2 2" xfId="15344" xr:uid="{45F50652-CEC7-4DEA-AB36-371ED79AF18D}"/>
    <cellStyle name="Normal 8 2 2 2 2 7 3" xfId="11126" xr:uid="{244A51C1-374F-4625-B43C-281878686619}"/>
    <cellStyle name="Normal 8 2 2 2 2 8" xfId="4850" xr:uid="{00000000-0005-0000-0000-00001C1C0000}"/>
    <cellStyle name="Normal 8 2 2 2 2 8 2" xfId="13279" xr:uid="{263F6377-BC38-4EC8-BBE6-77DC28E06C26}"/>
    <cellStyle name="Normal 8 2 2 2 2 9" xfId="9061" xr:uid="{AAE8F96A-901E-41AE-AB72-F2EA61FA0066}"/>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2 2" xfId="15839" xr:uid="{F5D61833-A9C5-4EDD-BAB4-E47F82679A0F}"/>
    <cellStyle name="Normal 8 2 2 2 3 2 2 3" xfId="11621" xr:uid="{3457737C-BD70-468D-BF47-0FD3E417BAA2}"/>
    <cellStyle name="Normal 8 2 2 2 3 2 3" xfId="5265" xr:uid="{00000000-0005-0000-0000-0000211C0000}"/>
    <cellStyle name="Normal 8 2 2 2 3 2 3 2" xfId="13694" xr:uid="{BCE99A62-8536-4719-A9BB-F51E3B6A5B29}"/>
    <cellStyle name="Normal 8 2 2 2 3 2 4" xfId="9476" xr:uid="{A9DE7854-01E5-4AE3-9157-4CD948BAE2A6}"/>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2 2" xfId="16252" xr:uid="{00CDC9EF-C35F-4ABF-8308-FF09D8CD5CEA}"/>
    <cellStyle name="Normal 8 2 2 2 3 3 2 3" xfId="12034" xr:uid="{3EE7662A-ED5C-4035-A808-2BCC86FA64DB}"/>
    <cellStyle name="Normal 8 2 2 2 3 3 3" xfId="5678" xr:uid="{00000000-0005-0000-0000-0000251C0000}"/>
    <cellStyle name="Normal 8 2 2 2 3 3 3 2" xfId="14107" xr:uid="{C95D604B-B988-451B-BD7F-F27B53ABC15B}"/>
    <cellStyle name="Normal 8 2 2 2 3 3 4" xfId="9889" xr:uid="{43D40CE8-DB5C-4B7D-98FC-E64BA87D6C12}"/>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2 2" xfId="16665" xr:uid="{6D8BD5A1-1881-47B0-9153-CEE3E3E9F8ED}"/>
    <cellStyle name="Normal 8 2 2 2 3 4 2 3" xfId="12447" xr:uid="{665360D4-AD17-4BEE-B97B-94F0FB127406}"/>
    <cellStyle name="Normal 8 2 2 2 3 4 3" xfId="6091" xr:uid="{00000000-0005-0000-0000-0000291C0000}"/>
    <cellStyle name="Normal 8 2 2 2 3 4 3 2" xfId="14520" xr:uid="{9478AC95-7115-432B-B112-39A1603D6BAD}"/>
    <cellStyle name="Normal 8 2 2 2 3 4 4" xfId="10302" xr:uid="{135555A1-BBA6-4741-A121-2AD16868A6D6}"/>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2 2" xfId="17078" xr:uid="{C02E890D-EAE8-491D-A36A-437C14C75CA9}"/>
    <cellStyle name="Normal 8 2 2 2 3 5 2 3" xfId="12860" xr:uid="{522C2CA6-7E05-4123-8F94-CAB7A01C5CD6}"/>
    <cellStyle name="Normal 8 2 2 2 3 5 3" xfId="6504" xr:uid="{00000000-0005-0000-0000-00002D1C0000}"/>
    <cellStyle name="Normal 8 2 2 2 3 5 3 2" xfId="14933" xr:uid="{B324D2A5-5DB5-4843-8FF4-43048700E38A}"/>
    <cellStyle name="Normal 8 2 2 2 3 5 4" xfId="10715" xr:uid="{0C8ABC3A-850F-40A5-9848-83547B56F5F8}"/>
    <cellStyle name="Normal 8 2 2 2 3 6" xfId="2632" xr:uid="{00000000-0005-0000-0000-00002E1C0000}"/>
    <cellStyle name="Normal 8 2 2 2 3 6 2" xfId="6917" xr:uid="{00000000-0005-0000-0000-00002F1C0000}"/>
    <cellStyle name="Normal 8 2 2 2 3 6 2 2" xfId="15346" xr:uid="{95CAB31D-A01D-40DE-A29C-171EA4FD6057}"/>
    <cellStyle name="Normal 8 2 2 2 3 6 3" xfId="11128" xr:uid="{3D8ED9E3-7205-4CD0-8D81-E4497E0FE889}"/>
    <cellStyle name="Normal 8 2 2 2 3 7" xfId="4852" xr:uid="{00000000-0005-0000-0000-0000301C0000}"/>
    <cellStyle name="Normal 8 2 2 2 3 7 2" xfId="13281" xr:uid="{DB0B4E32-BB24-46BC-8BE5-B73597AAED6C}"/>
    <cellStyle name="Normal 8 2 2 2 3 8" xfId="9063" xr:uid="{4BA60C8A-EFED-4C65-90B2-4106FDE2CD4E}"/>
    <cellStyle name="Normal 8 2 2 2 4" xfId="949" xr:uid="{00000000-0005-0000-0000-0000311C0000}"/>
    <cellStyle name="Normal 8 2 2 2 4 2" xfId="3183" xr:uid="{00000000-0005-0000-0000-0000321C0000}"/>
    <cellStyle name="Normal 8 2 2 2 4 2 2" xfId="7407" xr:uid="{00000000-0005-0000-0000-0000331C0000}"/>
    <cellStyle name="Normal 8 2 2 2 4 2 2 2" xfId="15836" xr:uid="{D4956A85-D35D-4A79-9A51-69F91901509F}"/>
    <cellStyle name="Normal 8 2 2 2 4 2 3" xfId="11618" xr:uid="{4E1B158E-0A8B-4B99-BD40-7CEAD56511AA}"/>
    <cellStyle name="Normal 8 2 2 2 4 3" xfId="5262" xr:uid="{00000000-0005-0000-0000-0000341C0000}"/>
    <cellStyle name="Normal 8 2 2 2 4 3 2" xfId="13691" xr:uid="{20EEC68C-71E3-4364-BFE3-0D948B3C6982}"/>
    <cellStyle name="Normal 8 2 2 2 4 4" xfId="9473" xr:uid="{7D8E28D9-694F-48A4-BD2F-059E571F9FB9}"/>
    <cellStyle name="Normal 8 2 2 2 5" xfId="1366" xr:uid="{00000000-0005-0000-0000-0000351C0000}"/>
    <cellStyle name="Normal 8 2 2 2 5 2" xfId="3596" xr:uid="{00000000-0005-0000-0000-0000361C0000}"/>
    <cellStyle name="Normal 8 2 2 2 5 2 2" xfId="7820" xr:uid="{00000000-0005-0000-0000-0000371C0000}"/>
    <cellStyle name="Normal 8 2 2 2 5 2 2 2" xfId="16249" xr:uid="{BF284C50-2BD2-46C8-9267-02E7F15CDC6A}"/>
    <cellStyle name="Normal 8 2 2 2 5 2 3" xfId="12031" xr:uid="{673F2548-2A6B-49D9-9B74-7D71BAF3278E}"/>
    <cellStyle name="Normal 8 2 2 2 5 3" xfId="5675" xr:uid="{00000000-0005-0000-0000-0000381C0000}"/>
    <cellStyle name="Normal 8 2 2 2 5 3 2" xfId="14104" xr:uid="{0595EDB4-DCB2-4108-87B7-034F9E35A528}"/>
    <cellStyle name="Normal 8 2 2 2 5 4" xfId="9886" xr:uid="{9AD62FC0-BD91-47E6-A9E4-B4817CC5478A}"/>
    <cellStyle name="Normal 8 2 2 2 6" xfId="1779" xr:uid="{00000000-0005-0000-0000-0000391C0000}"/>
    <cellStyle name="Normal 8 2 2 2 6 2" xfId="4009" xr:uid="{00000000-0005-0000-0000-00003A1C0000}"/>
    <cellStyle name="Normal 8 2 2 2 6 2 2" xfId="8233" xr:uid="{00000000-0005-0000-0000-00003B1C0000}"/>
    <cellStyle name="Normal 8 2 2 2 6 2 2 2" xfId="16662" xr:uid="{11A316F4-AFE8-4988-8276-33AAE5A50FDB}"/>
    <cellStyle name="Normal 8 2 2 2 6 2 3" xfId="12444" xr:uid="{07EB4891-FD31-458C-B442-26C3998C3B5E}"/>
    <cellStyle name="Normal 8 2 2 2 6 3" xfId="6088" xr:uid="{00000000-0005-0000-0000-00003C1C0000}"/>
    <cellStyle name="Normal 8 2 2 2 6 3 2" xfId="14517" xr:uid="{F61E7BF0-2C8F-4492-A031-C8EB934AF16A}"/>
    <cellStyle name="Normal 8 2 2 2 6 4" xfId="10299" xr:uid="{46451215-85F2-455D-99F6-D7D846A2F6D3}"/>
    <cellStyle name="Normal 8 2 2 2 7" xfId="2193" xr:uid="{00000000-0005-0000-0000-00003D1C0000}"/>
    <cellStyle name="Normal 8 2 2 2 7 2" xfId="4422" xr:uid="{00000000-0005-0000-0000-00003E1C0000}"/>
    <cellStyle name="Normal 8 2 2 2 7 2 2" xfId="8646" xr:uid="{00000000-0005-0000-0000-00003F1C0000}"/>
    <cellStyle name="Normal 8 2 2 2 7 2 2 2" xfId="17075" xr:uid="{31167B10-5E04-457F-A742-DBD8C1D58F4B}"/>
    <cellStyle name="Normal 8 2 2 2 7 2 3" xfId="12857" xr:uid="{6B0A37EF-97FA-4F94-AD9D-07AB44AEE74D}"/>
    <cellStyle name="Normal 8 2 2 2 7 3" xfId="6501" xr:uid="{00000000-0005-0000-0000-0000401C0000}"/>
    <cellStyle name="Normal 8 2 2 2 7 3 2" xfId="14930" xr:uid="{FCBDF1B7-1A69-4B2C-B6C5-2057CD92F658}"/>
    <cellStyle name="Normal 8 2 2 2 7 4" xfId="10712" xr:uid="{50479975-C225-47D5-8B88-B666FAB20A89}"/>
    <cellStyle name="Normal 8 2 2 2 8" xfId="2629" xr:uid="{00000000-0005-0000-0000-0000411C0000}"/>
    <cellStyle name="Normal 8 2 2 2 8 2" xfId="6914" xr:uid="{00000000-0005-0000-0000-0000421C0000}"/>
    <cellStyle name="Normal 8 2 2 2 8 2 2" xfId="15343" xr:uid="{5D3AF4FA-C9C4-45CE-8DCA-0ADB3E5B62F5}"/>
    <cellStyle name="Normal 8 2 2 2 8 3" xfId="11125" xr:uid="{7F5A8520-A5E7-436E-BD4B-5AF200FC6F37}"/>
    <cellStyle name="Normal 8 2 2 2 9" xfId="4849" xr:uid="{00000000-0005-0000-0000-0000431C0000}"/>
    <cellStyle name="Normal 8 2 2 2 9 2" xfId="13278" xr:uid="{277168B0-5375-40FD-BF0E-2BB8987A4EAB}"/>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2 2" xfId="15841" xr:uid="{1B39B3B2-6B6D-49B9-B4F9-FE6B6FACBDC9}"/>
    <cellStyle name="Normal 8 2 2 3 2 2 2 3" xfId="11623" xr:uid="{C3268155-96C6-4358-B53A-7BB3EAF46CFA}"/>
    <cellStyle name="Normal 8 2 2 3 2 2 3" xfId="5267" xr:uid="{00000000-0005-0000-0000-0000491C0000}"/>
    <cellStyle name="Normal 8 2 2 3 2 2 3 2" xfId="13696" xr:uid="{F304989E-3676-42DC-A298-39B99B55026D}"/>
    <cellStyle name="Normal 8 2 2 3 2 2 4" xfId="9478" xr:uid="{98394144-97A2-438C-8788-09337E99C58C}"/>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2 2" xfId="16254" xr:uid="{5CFD7FBF-A610-4DFD-9943-B844F27743AD}"/>
    <cellStyle name="Normal 8 2 2 3 2 3 2 3" xfId="12036" xr:uid="{804633A6-C730-4D74-8085-6DF40E4AC714}"/>
    <cellStyle name="Normal 8 2 2 3 2 3 3" xfId="5680" xr:uid="{00000000-0005-0000-0000-00004D1C0000}"/>
    <cellStyle name="Normal 8 2 2 3 2 3 3 2" xfId="14109" xr:uid="{AE3C9910-C653-4385-9C82-D2184DCDBC62}"/>
    <cellStyle name="Normal 8 2 2 3 2 3 4" xfId="9891" xr:uid="{0CBE62CB-7333-4A2F-9412-D627FAB42799}"/>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2 2" xfId="16667" xr:uid="{CFD976BD-7760-489D-9A83-88950DF6B7BF}"/>
    <cellStyle name="Normal 8 2 2 3 2 4 2 3" xfId="12449" xr:uid="{0AC28A0C-99C5-4E11-9640-9B83AD7A7265}"/>
    <cellStyle name="Normal 8 2 2 3 2 4 3" xfId="6093" xr:uid="{00000000-0005-0000-0000-0000511C0000}"/>
    <cellStyle name="Normal 8 2 2 3 2 4 3 2" xfId="14522" xr:uid="{84A5F065-65CA-4E47-AD66-06AD588ACC62}"/>
    <cellStyle name="Normal 8 2 2 3 2 4 4" xfId="10304" xr:uid="{FC0B13C4-961D-4DA3-98AC-FB216ADAFB83}"/>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2 2" xfId="17080" xr:uid="{71AD9884-629C-48D9-89D0-CBC8D3ECA309}"/>
    <cellStyle name="Normal 8 2 2 3 2 5 2 3" xfId="12862" xr:uid="{3E3F50E4-2382-4332-BA1C-DF3748068791}"/>
    <cellStyle name="Normal 8 2 2 3 2 5 3" xfId="6506" xr:uid="{00000000-0005-0000-0000-0000551C0000}"/>
    <cellStyle name="Normal 8 2 2 3 2 5 3 2" xfId="14935" xr:uid="{E824AF4E-4048-4EB1-8D83-AAD4B8819DA0}"/>
    <cellStyle name="Normal 8 2 2 3 2 5 4" xfId="10717" xr:uid="{F0D1D511-2739-44DF-B9D3-0FE993D8C3E0}"/>
    <cellStyle name="Normal 8 2 2 3 2 6" xfId="2634" xr:uid="{00000000-0005-0000-0000-0000561C0000}"/>
    <cellStyle name="Normal 8 2 2 3 2 6 2" xfId="6919" xr:uid="{00000000-0005-0000-0000-0000571C0000}"/>
    <cellStyle name="Normal 8 2 2 3 2 6 2 2" xfId="15348" xr:uid="{19D08DEE-11F9-4BE1-BCFF-C20CBAD45F07}"/>
    <cellStyle name="Normal 8 2 2 3 2 6 3" xfId="11130" xr:uid="{C5C71608-E35E-444B-8A33-B14695A73ADD}"/>
    <cellStyle name="Normal 8 2 2 3 2 7" xfId="4854" xr:uid="{00000000-0005-0000-0000-0000581C0000}"/>
    <cellStyle name="Normal 8 2 2 3 2 7 2" xfId="13283" xr:uid="{EF5238D8-FD69-4B53-98F3-F80B3BAFE207}"/>
    <cellStyle name="Normal 8 2 2 3 2 8" xfId="9065" xr:uid="{42D297A9-F909-4C8C-8664-D8708DD6264B}"/>
    <cellStyle name="Normal 8 2 2 3 3" xfId="953" xr:uid="{00000000-0005-0000-0000-0000591C0000}"/>
    <cellStyle name="Normal 8 2 2 3 3 2" xfId="3187" xr:uid="{00000000-0005-0000-0000-00005A1C0000}"/>
    <cellStyle name="Normal 8 2 2 3 3 2 2" xfId="7411" xr:uid="{00000000-0005-0000-0000-00005B1C0000}"/>
    <cellStyle name="Normal 8 2 2 3 3 2 2 2" xfId="15840" xr:uid="{127616C2-C28B-4C3B-975B-40B0EB797123}"/>
    <cellStyle name="Normal 8 2 2 3 3 2 3" xfId="11622" xr:uid="{4CDD3941-698A-4B33-9F4D-006ADC8CA4D9}"/>
    <cellStyle name="Normal 8 2 2 3 3 3" xfId="5266" xr:uid="{00000000-0005-0000-0000-00005C1C0000}"/>
    <cellStyle name="Normal 8 2 2 3 3 3 2" xfId="13695" xr:uid="{01A15BCD-95DE-402A-9E58-678B5BF4FF0F}"/>
    <cellStyle name="Normal 8 2 2 3 3 4" xfId="9477" xr:uid="{DCB8A31A-E2CE-48B6-A300-B1CB847EEB54}"/>
    <cellStyle name="Normal 8 2 2 3 4" xfId="1370" xr:uid="{00000000-0005-0000-0000-00005D1C0000}"/>
    <cellStyle name="Normal 8 2 2 3 4 2" xfId="3600" xr:uid="{00000000-0005-0000-0000-00005E1C0000}"/>
    <cellStyle name="Normal 8 2 2 3 4 2 2" xfId="7824" xr:uid="{00000000-0005-0000-0000-00005F1C0000}"/>
    <cellStyle name="Normal 8 2 2 3 4 2 2 2" xfId="16253" xr:uid="{16F1444D-60D0-4009-BA13-A3D2C159136B}"/>
    <cellStyle name="Normal 8 2 2 3 4 2 3" xfId="12035" xr:uid="{DD3DA125-755C-4152-A1A0-0559050C99D1}"/>
    <cellStyle name="Normal 8 2 2 3 4 3" xfId="5679" xr:uid="{00000000-0005-0000-0000-0000601C0000}"/>
    <cellStyle name="Normal 8 2 2 3 4 3 2" xfId="14108" xr:uid="{6D7CDE26-9B85-4D08-8773-2FB97EC55BF6}"/>
    <cellStyle name="Normal 8 2 2 3 4 4" xfId="9890" xr:uid="{F6114AA9-D50E-4046-9EFF-B3CD6064D4B2}"/>
    <cellStyle name="Normal 8 2 2 3 5" xfId="1783" xr:uid="{00000000-0005-0000-0000-0000611C0000}"/>
    <cellStyle name="Normal 8 2 2 3 5 2" xfId="4013" xr:uid="{00000000-0005-0000-0000-0000621C0000}"/>
    <cellStyle name="Normal 8 2 2 3 5 2 2" xfId="8237" xr:uid="{00000000-0005-0000-0000-0000631C0000}"/>
    <cellStyle name="Normal 8 2 2 3 5 2 2 2" xfId="16666" xr:uid="{B410CAA6-F91D-4178-A3BF-AC1F779B912A}"/>
    <cellStyle name="Normal 8 2 2 3 5 2 3" xfId="12448" xr:uid="{6D33F016-E041-49E2-ABD4-34CBF544013D}"/>
    <cellStyle name="Normal 8 2 2 3 5 3" xfId="6092" xr:uid="{00000000-0005-0000-0000-0000641C0000}"/>
    <cellStyle name="Normal 8 2 2 3 5 3 2" xfId="14521" xr:uid="{4D1CF1E8-B0E0-41D9-9A61-353838B4449B}"/>
    <cellStyle name="Normal 8 2 2 3 5 4" xfId="10303" xr:uid="{1F710BB2-6DC3-425A-B25C-9D5953FC62D7}"/>
    <cellStyle name="Normal 8 2 2 3 6" xfId="2197" xr:uid="{00000000-0005-0000-0000-0000651C0000}"/>
    <cellStyle name="Normal 8 2 2 3 6 2" xfId="4426" xr:uid="{00000000-0005-0000-0000-0000661C0000}"/>
    <cellStyle name="Normal 8 2 2 3 6 2 2" xfId="8650" xr:uid="{00000000-0005-0000-0000-0000671C0000}"/>
    <cellStyle name="Normal 8 2 2 3 6 2 2 2" xfId="17079" xr:uid="{423EC07B-93D4-45EE-B9AB-6626C46D835E}"/>
    <cellStyle name="Normal 8 2 2 3 6 2 3" xfId="12861" xr:uid="{DD964603-5844-46D0-9F8B-83D18388BECD}"/>
    <cellStyle name="Normal 8 2 2 3 6 3" xfId="6505" xr:uid="{00000000-0005-0000-0000-0000681C0000}"/>
    <cellStyle name="Normal 8 2 2 3 6 3 2" xfId="14934" xr:uid="{4015DB52-9B91-4C4C-9487-E9BF73F38EEB}"/>
    <cellStyle name="Normal 8 2 2 3 6 4" xfId="10716" xr:uid="{096284B1-73BC-4A23-A9B3-ED4832641D33}"/>
    <cellStyle name="Normal 8 2 2 3 7" xfId="2633" xr:uid="{00000000-0005-0000-0000-0000691C0000}"/>
    <cellStyle name="Normal 8 2 2 3 7 2" xfId="6918" xr:uid="{00000000-0005-0000-0000-00006A1C0000}"/>
    <cellStyle name="Normal 8 2 2 3 7 2 2" xfId="15347" xr:uid="{AEBBE2AD-7D4E-48DA-A01E-F80F70A945F3}"/>
    <cellStyle name="Normal 8 2 2 3 7 3" xfId="11129" xr:uid="{1D300867-E861-4D20-BB56-43A02513CEE3}"/>
    <cellStyle name="Normal 8 2 2 3 8" xfId="4853" xr:uid="{00000000-0005-0000-0000-00006B1C0000}"/>
    <cellStyle name="Normal 8 2 2 3 8 2" xfId="13282" xr:uid="{517391B7-D273-4623-896F-F06A1B73A792}"/>
    <cellStyle name="Normal 8 2 2 3 9" xfId="9064" xr:uid="{BE18FA22-ECE9-41CC-8A70-58C2CB672507}"/>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2 2" xfId="15842" xr:uid="{05E69C0D-1CB9-482C-8C9A-20139AB1AB18}"/>
    <cellStyle name="Normal 8 2 2 4 2 2 3" xfId="11624" xr:uid="{814B7D97-319F-482D-80C2-4AE298DB3DB8}"/>
    <cellStyle name="Normal 8 2 2 4 2 3" xfId="5268" xr:uid="{00000000-0005-0000-0000-0000701C0000}"/>
    <cellStyle name="Normal 8 2 2 4 2 3 2" xfId="13697" xr:uid="{69FCF900-63F3-43B7-A987-3449463856DD}"/>
    <cellStyle name="Normal 8 2 2 4 2 4" xfId="9479" xr:uid="{71B45600-191E-47E5-AD24-339F0EDB6A91}"/>
    <cellStyle name="Normal 8 2 2 4 3" xfId="1372" xr:uid="{00000000-0005-0000-0000-0000711C0000}"/>
    <cellStyle name="Normal 8 2 2 4 3 2" xfId="3602" xr:uid="{00000000-0005-0000-0000-0000721C0000}"/>
    <cellStyle name="Normal 8 2 2 4 3 2 2" xfId="7826" xr:uid="{00000000-0005-0000-0000-0000731C0000}"/>
    <cellStyle name="Normal 8 2 2 4 3 2 2 2" xfId="16255" xr:uid="{427CF37C-6F41-4DD9-A7C3-846443F84BF8}"/>
    <cellStyle name="Normal 8 2 2 4 3 2 3" xfId="12037" xr:uid="{65E9C0EC-37C6-405A-8D9D-D3BA923B406F}"/>
    <cellStyle name="Normal 8 2 2 4 3 3" xfId="5681" xr:uid="{00000000-0005-0000-0000-0000741C0000}"/>
    <cellStyle name="Normal 8 2 2 4 3 3 2" xfId="14110" xr:uid="{0C91EC59-413A-41C5-ABE4-7585609957DA}"/>
    <cellStyle name="Normal 8 2 2 4 3 4" xfId="9892" xr:uid="{5E99895E-60C7-41B1-9E16-D53BFEC5A10C}"/>
    <cellStyle name="Normal 8 2 2 4 4" xfId="1785" xr:uid="{00000000-0005-0000-0000-0000751C0000}"/>
    <cellStyle name="Normal 8 2 2 4 4 2" xfId="4015" xr:uid="{00000000-0005-0000-0000-0000761C0000}"/>
    <cellStyle name="Normal 8 2 2 4 4 2 2" xfId="8239" xr:uid="{00000000-0005-0000-0000-0000771C0000}"/>
    <cellStyle name="Normal 8 2 2 4 4 2 2 2" xfId="16668" xr:uid="{1C9D5FDA-639F-4EF4-A8B4-2E50AC053CA4}"/>
    <cellStyle name="Normal 8 2 2 4 4 2 3" xfId="12450" xr:uid="{9E9EBE2C-1716-4ED6-8E45-846EF41FBFFD}"/>
    <cellStyle name="Normal 8 2 2 4 4 3" xfId="6094" xr:uid="{00000000-0005-0000-0000-0000781C0000}"/>
    <cellStyle name="Normal 8 2 2 4 4 3 2" xfId="14523" xr:uid="{B943ABA7-34D8-425B-9D28-E283C6DADEF1}"/>
    <cellStyle name="Normal 8 2 2 4 4 4" xfId="10305" xr:uid="{96F67B28-ACE8-4FE3-B6D6-8C5CBDD13D64}"/>
    <cellStyle name="Normal 8 2 2 4 5" xfId="2199" xr:uid="{00000000-0005-0000-0000-0000791C0000}"/>
    <cellStyle name="Normal 8 2 2 4 5 2" xfId="4428" xr:uid="{00000000-0005-0000-0000-00007A1C0000}"/>
    <cellStyle name="Normal 8 2 2 4 5 2 2" xfId="8652" xr:uid="{00000000-0005-0000-0000-00007B1C0000}"/>
    <cellStyle name="Normal 8 2 2 4 5 2 2 2" xfId="17081" xr:uid="{9F719462-0E12-47B4-970A-234F5B47481F}"/>
    <cellStyle name="Normal 8 2 2 4 5 2 3" xfId="12863" xr:uid="{B36DE926-3822-4413-AC5B-976B4468480C}"/>
    <cellStyle name="Normal 8 2 2 4 5 3" xfId="6507" xr:uid="{00000000-0005-0000-0000-00007C1C0000}"/>
    <cellStyle name="Normal 8 2 2 4 5 3 2" xfId="14936" xr:uid="{A79A195A-F686-4DBB-890A-998F72AFDED5}"/>
    <cellStyle name="Normal 8 2 2 4 5 4" xfId="10718" xr:uid="{A3C5A728-B093-415F-B20D-E2A6B4183541}"/>
    <cellStyle name="Normal 8 2 2 4 6" xfId="2635" xr:uid="{00000000-0005-0000-0000-00007D1C0000}"/>
    <cellStyle name="Normal 8 2 2 4 6 2" xfId="6920" xr:uid="{00000000-0005-0000-0000-00007E1C0000}"/>
    <cellStyle name="Normal 8 2 2 4 6 2 2" xfId="15349" xr:uid="{688729C5-D316-4965-A8F3-2F7DE6991239}"/>
    <cellStyle name="Normal 8 2 2 4 6 3" xfId="11131" xr:uid="{DD0D5993-3AC0-45F6-9CD3-6F55143BEFA6}"/>
    <cellStyle name="Normal 8 2 2 4 7" xfId="4855" xr:uid="{00000000-0005-0000-0000-00007F1C0000}"/>
    <cellStyle name="Normal 8 2 2 4 7 2" xfId="13284" xr:uid="{BFF67A8B-CABD-4540-BCD4-7F674230BF5E}"/>
    <cellStyle name="Normal 8 2 2 4 8" xfId="9066" xr:uid="{21EAFB30-0DC4-439F-AC68-BD5E078F9C94}"/>
    <cellStyle name="Normal 8 2 2 5" xfId="948" xr:uid="{00000000-0005-0000-0000-0000801C0000}"/>
    <cellStyle name="Normal 8 2 2 5 2" xfId="3182" xr:uid="{00000000-0005-0000-0000-0000811C0000}"/>
    <cellStyle name="Normal 8 2 2 5 2 2" xfId="7406" xr:uid="{00000000-0005-0000-0000-0000821C0000}"/>
    <cellStyle name="Normal 8 2 2 5 2 2 2" xfId="15835" xr:uid="{97028DA6-EFD2-4979-B3E4-1D3B733B43DF}"/>
    <cellStyle name="Normal 8 2 2 5 2 3" xfId="11617" xr:uid="{FA73E3C6-1B75-4B38-8C31-6555D98876F9}"/>
    <cellStyle name="Normal 8 2 2 5 3" xfId="5261" xr:uid="{00000000-0005-0000-0000-0000831C0000}"/>
    <cellStyle name="Normal 8 2 2 5 3 2" xfId="13690" xr:uid="{17B6AD5C-7EEC-4481-915B-287FEDCE8311}"/>
    <cellStyle name="Normal 8 2 2 5 4" xfId="9472" xr:uid="{1F4B0782-AD89-4B2F-B37C-01733832FE2B}"/>
    <cellStyle name="Normal 8 2 2 6" xfId="1365" xr:uid="{00000000-0005-0000-0000-0000841C0000}"/>
    <cellStyle name="Normal 8 2 2 6 2" xfId="3595" xr:uid="{00000000-0005-0000-0000-0000851C0000}"/>
    <cellStyle name="Normal 8 2 2 6 2 2" xfId="7819" xr:uid="{00000000-0005-0000-0000-0000861C0000}"/>
    <cellStyle name="Normal 8 2 2 6 2 2 2" xfId="16248" xr:uid="{58571D7C-1CD4-4A61-91EE-FD5450AE1121}"/>
    <cellStyle name="Normal 8 2 2 6 2 3" xfId="12030" xr:uid="{2EB06DF3-2E61-4FEA-B705-32B3F6CCD4FF}"/>
    <cellStyle name="Normal 8 2 2 6 3" xfId="5674" xr:uid="{00000000-0005-0000-0000-0000871C0000}"/>
    <cellStyle name="Normal 8 2 2 6 3 2" xfId="14103" xr:uid="{482F2426-CC20-4F81-84B1-0BD16D5F1EF2}"/>
    <cellStyle name="Normal 8 2 2 6 4" xfId="9885" xr:uid="{EC36350B-5B1D-447B-80C9-85DAAADF4D15}"/>
    <cellStyle name="Normal 8 2 2 7" xfId="1778" xr:uid="{00000000-0005-0000-0000-0000881C0000}"/>
    <cellStyle name="Normal 8 2 2 7 2" xfId="4008" xr:uid="{00000000-0005-0000-0000-0000891C0000}"/>
    <cellStyle name="Normal 8 2 2 7 2 2" xfId="8232" xr:uid="{00000000-0005-0000-0000-00008A1C0000}"/>
    <cellStyle name="Normal 8 2 2 7 2 2 2" xfId="16661" xr:uid="{EDDAA876-069A-45F0-BFDA-6CA2FBF7B7A9}"/>
    <cellStyle name="Normal 8 2 2 7 2 3" xfId="12443" xr:uid="{B77F65BF-FEEE-4229-BB68-B6502B7A92AC}"/>
    <cellStyle name="Normal 8 2 2 7 3" xfId="6087" xr:uid="{00000000-0005-0000-0000-00008B1C0000}"/>
    <cellStyle name="Normal 8 2 2 7 3 2" xfId="14516" xr:uid="{8DA8F176-345F-4178-A0FE-453D3C90F17B}"/>
    <cellStyle name="Normal 8 2 2 7 4" xfId="10298" xr:uid="{16A03C97-1355-45AE-8886-4A836B5866A9}"/>
    <cellStyle name="Normal 8 2 2 8" xfId="2192" xr:uid="{00000000-0005-0000-0000-00008C1C0000}"/>
    <cellStyle name="Normal 8 2 2 8 2" xfId="4421" xr:uid="{00000000-0005-0000-0000-00008D1C0000}"/>
    <cellStyle name="Normal 8 2 2 8 2 2" xfId="8645" xr:uid="{00000000-0005-0000-0000-00008E1C0000}"/>
    <cellStyle name="Normal 8 2 2 8 2 2 2" xfId="17074" xr:uid="{38566612-A041-4963-92B6-FD847C700148}"/>
    <cellStyle name="Normal 8 2 2 8 2 3" xfId="12856" xr:uid="{B54FF0EA-6E2D-4375-83D5-FC8F621C5150}"/>
    <cellStyle name="Normal 8 2 2 8 3" xfId="6500" xr:uid="{00000000-0005-0000-0000-00008F1C0000}"/>
    <cellStyle name="Normal 8 2 2 8 3 2" xfId="14929" xr:uid="{1C3F336E-6777-4E17-AECA-C850E80CB102}"/>
    <cellStyle name="Normal 8 2 2 8 4" xfId="10711" xr:uid="{B23E780D-F0FF-4A58-9F15-1091F16ABEBE}"/>
    <cellStyle name="Normal 8 2 2 9" xfId="2628" xr:uid="{00000000-0005-0000-0000-0000901C0000}"/>
    <cellStyle name="Normal 8 2 2 9 2" xfId="6913" xr:uid="{00000000-0005-0000-0000-0000911C0000}"/>
    <cellStyle name="Normal 8 2 2 9 2 2" xfId="15342" xr:uid="{C85F4653-EE8F-48B5-91AE-32F853675E71}"/>
    <cellStyle name="Normal 8 2 2 9 3" xfId="11124" xr:uid="{B87F49A6-97C6-434D-8E7A-D0160BB87240}"/>
    <cellStyle name="Normal 8 2 3" xfId="488" xr:uid="{00000000-0005-0000-0000-0000921C0000}"/>
    <cellStyle name="Normal 8 2 3 10" xfId="9067" xr:uid="{461C7F8A-1C8E-494A-8039-5EE349CF32B7}"/>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2 2" xfId="15845" xr:uid="{8FF91D8F-4DDA-4665-B44E-916121B41C75}"/>
    <cellStyle name="Normal 8 2 3 2 2 2 2 3" xfId="11627" xr:uid="{89D265B2-B0F2-42C6-817B-01895BC5ED92}"/>
    <cellStyle name="Normal 8 2 3 2 2 2 3" xfId="5271" xr:uid="{00000000-0005-0000-0000-0000981C0000}"/>
    <cellStyle name="Normal 8 2 3 2 2 2 3 2" xfId="13700" xr:uid="{2690CCF3-193D-4D22-A273-8A389FA512CA}"/>
    <cellStyle name="Normal 8 2 3 2 2 2 4" xfId="9482" xr:uid="{8EE8D6ED-0F33-43FA-A47B-B67502B35D54}"/>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2 2" xfId="16258" xr:uid="{3D2F4DB6-5718-425C-9541-2953A41BBC15}"/>
    <cellStyle name="Normal 8 2 3 2 2 3 2 3" xfId="12040" xr:uid="{529E60AC-139D-46E8-B402-7958EBC8823B}"/>
    <cellStyle name="Normal 8 2 3 2 2 3 3" xfId="5684" xr:uid="{00000000-0005-0000-0000-00009C1C0000}"/>
    <cellStyle name="Normal 8 2 3 2 2 3 3 2" xfId="14113" xr:uid="{7FB913B2-C130-4D96-89A9-308DCB61E2D6}"/>
    <cellStyle name="Normal 8 2 3 2 2 3 4" xfId="9895" xr:uid="{D45BA858-B5FB-4A24-B2E5-2421FE0D1411}"/>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2 2" xfId="16671" xr:uid="{2B55144B-5471-4BDF-AA38-754ED29B50EC}"/>
    <cellStyle name="Normal 8 2 3 2 2 4 2 3" xfId="12453" xr:uid="{CA1B6704-4467-49C9-94CE-156D63718376}"/>
    <cellStyle name="Normal 8 2 3 2 2 4 3" xfId="6097" xr:uid="{00000000-0005-0000-0000-0000A01C0000}"/>
    <cellStyle name="Normal 8 2 3 2 2 4 3 2" xfId="14526" xr:uid="{B6DBB180-1BD5-478E-BE62-7DC6E2F99758}"/>
    <cellStyle name="Normal 8 2 3 2 2 4 4" xfId="10308" xr:uid="{1FCA2A55-57D8-414D-8BC4-A6BBBC096B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2 2" xfId="17084" xr:uid="{47FEE32E-9EAB-4F9F-ADB2-CEAAA241F1FE}"/>
    <cellStyle name="Normal 8 2 3 2 2 5 2 3" xfId="12866" xr:uid="{3FAA1EA8-5577-4614-B361-48A82175E197}"/>
    <cellStyle name="Normal 8 2 3 2 2 5 3" xfId="6510" xr:uid="{00000000-0005-0000-0000-0000A41C0000}"/>
    <cellStyle name="Normal 8 2 3 2 2 5 3 2" xfId="14939" xr:uid="{F545C8D3-6963-4D89-BF9A-E5240B72CCFD}"/>
    <cellStyle name="Normal 8 2 3 2 2 5 4" xfId="10721" xr:uid="{0F08425B-7113-4953-986C-1DB2802FBC03}"/>
    <cellStyle name="Normal 8 2 3 2 2 6" xfId="2638" xr:uid="{00000000-0005-0000-0000-0000A51C0000}"/>
    <cellStyle name="Normal 8 2 3 2 2 6 2" xfId="6923" xr:uid="{00000000-0005-0000-0000-0000A61C0000}"/>
    <cellStyle name="Normal 8 2 3 2 2 6 2 2" xfId="15352" xr:uid="{CF138854-C259-431B-A3E6-9DB12AC935B5}"/>
    <cellStyle name="Normal 8 2 3 2 2 6 3" xfId="11134" xr:uid="{2CE6A441-29FD-41AD-988B-9D62D4D5B983}"/>
    <cellStyle name="Normal 8 2 3 2 2 7" xfId="4858" xr:uid="{00000000-0005-0000-0000-0000A71C0000}"/>
    <cellStyle name="Normal 8 2 3 2 2 7 2" xfId="13287" xr:uid="{3AE2C20E-0BB9-4620-9B8F-2CBC551357DD}"/>
    <cellStyle name="Normal 8 2 3 2 2 8" xfId="9069" xr:uid="{AB9FC484-BD4B-422F-99CF-2421AA68327E}"/>
    <cellStyle name="Normal 8 2 3 2 3" xfId="957" xr:uid="{00000000-0005-0000-0000-0000A81C0000}"/>
    <cellStyle name="Normal 8 2 3 2 3 2" xfId="3191" xr:uid="{00000000-0005-0000-0000-0000A91C0000}"/>
    <cellStyle name="Normal 8 2 3 2 3 2 2" xfId="7415" xr:uid="{00000000-0005-0000-0000-0000AA1C0000}"/>
    <cellStyle name="Normal 8 2 3 2 3 2 2 2" xfId="15844" xr:uid="{176CE26C-BC11-44CC-BBCC-FFB24068732C}"/>
    <cellStyle name="Normal 8 2 3 2 3 2 3" xfId="11626" xr:uid="{B4E6CBDF-C331-44CC-9D07-32BCE715B76B}"/>
    <cellStyle name="Normal 8 2 3 2 3 3" xfId="5270" xr:uid="{00000000-0005-0000-0000-0000AB1C0000}"/>
    <cellStyle name="Normal 8 2 3 2 3 3 2" xfId="13699" xr:uid="{3853E2A6-9B8B-49A2-AA52-084D92EF59F1}"/>
    <cellStyle name="Normal 8 2 3 2 3 4" xfId="9481" xr:uid="{4C47554D-4188-440D-ACD1-8011DDB9D048}"/>
    <cellStyle name="Normal 8 2 3 2 4" xfId="1374" xr:uid="{00000000-0005-0000-0000-0000AC1C0000}"/>
    <cellStyle name="Normal 8 2 3 2 4 2" xfId="3604" xr:uid="{00000000-0005-0000-0000-0000AD1C0000}"/>
    <cellStyle name="Normal 8 2 3 2 4 2 2" xfId="7828" xr:uid="{00000000-0005-0000-0000-0000AE1C0000}"/>
    <cellStyle name="Normal 8 2 3 2 4 2 2 2" xfId="16257" xr:uid="{32EA5967-1C05-41DA-B594-E534E5B878AB}"/>
    <cellStyle name="Normal 8 2 3 2 4 2 3" xfId="12039" xr:uid="{D329C672-48A1-4EB5-96A1-4386A83393AE}"/>
    <cellStyle name="Normal 8 2 3 2 4 3" xfId="5683" xr:uid="{00000000-0005-0000-0000-0000AF1C0000}"/>
    <cellStyle name="Normal 8 2 3 2 4 3 2" xfId="14112" xr:uid="{D3B1B8E3-D4A7-4BF0-80EB-49B2E3E6FB48}"/>
    <cellStyle name="Normal 8 2 3 2 4 4" xfId="9894" xr:uid="{C2711036-FF72-476D-A096-D72A9176D239}"/>
    <cellStyle name="Normal 8 2 3 2 5" xfId="1787" xr:uid="{00000000-0005-0000-0000-0000B01C0000}"/>
    <cellStyle name="Normal 8 2 3 2 5 2" xfId="4017" xr:uid="{00000000-0005-0000-0000-0000B11C0000}"/>
    <cellStyle name="Normal 8 2 3 2 5 2 2" xfId="8241" xr:uid="{00000000-0005-0000-0000-0000B21C0000}"/>
    <cellStyle name="Normal 8 2 3 2 5 2 2 2" xfId="16670" xr:uid="{4CEBDDC2-FD69-41A8-8138-9C822582186D}"/>
    <cellStyle name="Normal 8 2 3 2 5 2 3" xfId="12452" xr:uid="{A7EA4CB0-DB03-4A6E-A3FF-4ABCD74A8DC0}"/>
    <cellStyle name="Normal 8 2 3 2 5 3" xfId="6096" xr:uid="{00000000-0005-0000-0000-0000B31C0000}"/>
    <cellStyle name="Normal 8 2 3 2 5 3 2" xfId="14525" xr:uid="{1C246EA3-0511-4692-A339-91A6EF38C24B}"/>
    <cellStyle name="Normal 8 2 3 2 5 4" xfId="10307" xr:uid="{8E5CB0BD-373B-4E41-8D33-D95AB06E69E9}"/>
    <cellStyle name="Normal 8 2 3 2 6" xfId="2201" xr:uid="{00000000-0005-0000-0000-0000B41C0000}"/>
    <cellStyle name="Normal 8 2 3 2 6 2" xfId="4430" xr:uid="{00000000-0005-0000-0000-0000B51C0000}"/>
    <cellStyle name="Normal 8 2 3 2 6 2 2" xfId="8654" xr:uid="{00000000-0005-0000-0000-0000B61C0000}"/>
    <cellStyle name="Normal 8 2 3 2 6 2 2 2" xfId="17083" xr:uid="{335B464B-6BA6-40A5-AE98-CC4BE1BBE0B8}"/>
    <cellStyle name="Normal 8 2 3 2 6 2 3" xfId="12865" xr:uid="{765D218E-E9F1-4AB1-8257-26412BA02004}"/>
    <cellStyle name="Normal 8 2 3 2 6 3" xfId="6509" xr:uid="{00000000-0005-0000-0000-0000B71C0000}"/>
    <cellStyle name="Normal 8 2 3 2 6 3 2" xfId="14938" xr:uid="{F22B6A82-5DC3-46CA-8EB9-4CA2D0F88CB3}"/>
    <cellStyle name="Normal 8 2 3 2 6 4" xfId="10720" xr:uid="{7697C417-5AFB-49AB-9FF7-E0EBE3DBB1BF}"/>
    <cellStyle name="Normal 8 2 3 2 7" xfId="2637" xr:uid="{00000000-0005-0000-0000-0000B81C0000}"/>
    <cellStyle name="Normal 8 2 3 2 7 2" xfId="6922" xr:uid="{00000000-0005-0000-0000-0000B91C0000}"/>
    <cellStyle name="Normal 8 2 3 2 7 2 2" xfId="15351" xr:uid="{C1B0DE4F-9102-4F3E-8B41-BB923D3BEE98}"/>
    <cellStyle name="Normal 8 2 3 2 7 3" xfId="11133" xr:uid="{F0582347-3FAA-49A3-9FEA-372D2AB24AF1}"/>
    <cellStyle name="Normal 8 2 3 2 8" xfId="4857" xr:uid="{00000000-0005-0000-0000-0000BA1C0000}"/>
    <cellStyle name="Normal 8 2 3 2 8 2" xfId="13286" xr:uid="{C3EF6DD3-7482-4FAA-98E4-E1050F06366E}"/>
    <cellStyle name="Normal 8 2 3 2 9" xfId="9068" xr:uid="{375153E4-E8FE-41B8-B335-28959C59A175}"/>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2 2" xfId="15846" xr:uid="{753520D4-BE2D-4AC7-868E-5A0578C22C71}"/>
    <cellStyle name="Normal 8 2 3 3 2 2 3" xfId="11628" xr:uid="{29A41E6D-17B4-4376-9703-82AE8422C378}"/>
    <cellStyle name="Normal 8 2 3 3 2 3" xfId="5272" xr:uid="{00000000-0005-0000-0000-0000BF1C0000}"/>
    <cellStyle name="Normal 8 2 3 3 2 3 2" xfId="13701" xr:uid="{74FC0416-8B79-4683-8BBC-D65D00D995AB}"/>
    <cellStyle name="Normal 8 2 3 3 2 4" xfId="9483" xr:uid="{B5F04743-948F-492D-8BEE-018A6EFCBC33}"/>
    <cellStyle name="Normal 8 2 3 3 3" xfId="1376" xr:uid="{00000000-0005-0000-0000-0000C01C0000}"/>
    <cellStyle name="Normal 8 2 3 3 3 2" xfId="3606" xr:uid="{00000000-0005-0000-0000-0000C11C0000}"/>
    <cellStyle name="Normal 8 2 3 3 3 2 2" xfId="7830" xr:uid="{00000000-0005-0000-0000-0000C21C0000}"/>
    <cellStyle name="Normal 8 2 3 3 3 2 2 2" xfId="16259" xr:uid="{0F37E1CB-B923-40EF-A0E2-7E03F89DAFA6}"/>
    <cellStyle name="Normal 8 2 3 3 3 2 3" xfId="12041" xr:uid="{07934728-7F04-4A00-B777-6EC1470FA2E7}"/>
    <cellStyle name="Normal 8 2 3 3 3 3" xfId="5685" xr:uid="{00000000-0005-0000-0000-0000C31C0000}"/>
    <cellStyle name="Normal 8 2 3 3 3 3 2" xfId="14114" xr:uid="{838EC5DA-C41B-4212-A88A-BFED2CA9DD97}"/>
    <cellStyle name="Normal 8 2 3 3 3 4" xfId="9896" xr:uid="{1D8F315A-8CE4-4CCA-A385-C6F991EB186F}"/>
    <cellStyle name="Normal 8 2 3 3 4" xfId="1789" xr:uid="{00000000-0005-0000-0000-0000C41C0000}"/>
    <cellStyle name="Normal 8 2 3 3 4 2" xfId="4019" xr:uid="{00000000-0005-0000-0000-0000C51C0000}"/>
    <cellStyle name="Normal 8 2 3 3 4 2 2" xfId="8243" xr:uid="{00000000-0005-0000-0000-0000C61C0000}"/>
    <cellStyle name="Normal 8 2 3 3 4 2 2 2" xfId="16672" xr:uid="{9053BA70-1CEB-4D93-9375-7EFACEDED35E}"/>
    <cellStyle name="Normal 8 2 3 3 4 2 3" xfId="12454" xr:uid="{79E4FAF0-D2DA-445F-9749-082D81E6F8A6}"/>
    <cellStyle name="Normal 8 2 3 3 4 3" xfId="6098" xr:uid="{00000000-0005-0000-0000-0000C71C0000}"/>
    <cellStyle name="Normal 8 2 3 3 4 3 2" xfId="14527" xr:uid="{175D76F8-08FA-471F-9262-6081D4344943}"/>
    <cellStyle name="Normal 8 2 3 3 4 4" xfId="10309" xr:uid="{F96170FE-EA05-4123-9EBA-AD93633E03A2}"/>
    <cellStyle name="Normal 8 2 3 3 5" xfId="2203" xr:uid="{00000000-0005-0000-0000-0000C81C0000}"/>
    <cellStyle name="Normal 8 2 3 3 5 2" xfId="4432" xr:uid="{00000000-0005-0000-0000-0000C91C0000}"/>
    <cellStyle name="Normal 8 2 3 3 5 2 2" xfId="8656" xr:uid="{00000000-0005-0000-0000-0000CA1C0000}"/>
    <cellStyle name="Normal 8 2 3 3 5 2 2 2" xfId="17085" xr:uid="{2FBFE58E-0533-42A5-A372-95F56AB4F745}"/>
    <cellStyle name="Normal 8 2 3 3 5 2 3" xfId="12867" xr:uid="{542A4D60-072C-4239-9083-ECBD08839277}"/>
    <cellStyle name="Normal 8 2 3 3 5 3" xfId="6511" xr:uid="{00000000-0005-0000-0000-0000CB1C0000}"/>
    <cellStyle name="Normal 8 2 3 3 5 3 2" xfId="14940" xr:uid="{866E2BDF-B38B-48AB-A808-213BA784BD89}"/>
    <cellStyle name="Normal 8 2 3 3 5 4" xfId="10722" xr:uid="{8EE46062-93B7-42A3-96C7-94F3ADBBC097}"/>
    <cellStyle name="Normal 8 2 3 3 6" xfId="2639" xr:uid="{00000000-0005-0000-0000-0000CC1C0000}"/>
    <cellStyle name="Normal 8 2 3 3 6 2" xfId="6924" xr:uid="{00000000-0005-0000-0000-0000CD1C0000}"/>
    <cellStyle name="Normal 8 2 3 3 6 2 2" xfId="15353" xr:uid="{D347755E-DBC3-4E9A-9132-1FDE369E0BC0}"/>
    <cellStyle name="Normal 8 2 3 3 6 3" xfId="11135" xr:uid="{A228926E-68A3-46C8-B0EE-F43F1B5F2F15}"/>
    <cellStyle name="Normal 8 2 3 3 7" xfId="4859" xr:uid="{00000000-0005-0000-0000-0000CE1C0000}"/>
    <cellStyle name="Normal 8 2 3 3 7 2" xfId="13288" xr:uid="{58D43350-006B-4744-AAED-332D78925BFC}"/>
    <cellStyle name="Normal 8 2 3 3 8" xfId="9070" xr:uid="{D5EA638F-FFDE-4543-98C0-36728AEB4367}"/>
    <cellStyle name="Normal 8 2 3 4" xfId="956" xr:uid="{00000000-0005-0000-0000-0000CF1C0000}"/>
    <cellStyle name="Normal 8 2 3 4 2" xfId="3190" xr:uid="{00000000-0005-0000-0000-0000D01C0000}"/>
    <cellStyle name="Normal 8 2 3 4 2 2" xfId="7414" xr:uid="{00000000-0005-0000-0000-0000D11C0000}"/>
    <cellStyle name="Normal 8 2 3 4 2 2 2" xfId="15843" xr:uid="{10EE1747-4A2C-4FE3-A056-DC5EE536A930}"/>
    <cellStyle name="Normal 8 2 3 4 2 3" xfId="11625" xr:uid="{8EDD0D69-01B2-4DAF-9BAD-F61325F86708}"/>
    <cellStyle name="Normal 8 2 3 4 3" xfId="5269" xr:uid="{00000000-0005-0000-0000-0000D21C0000}"/>
    <cellStyle name="Normal 8 2 3 4 3 2" xfId="13698" xr:uid="{A6ACE59F-F8B7-44F1-8521-8A429FF36A32}"/>
    <cellStyle name="Normal 8 2 3 4 4" xfId="9480" xr:uid="{0EAD21EB-AF14-4988-8B8C-BA5822FE4ECC}"/>
    <cellStyle name="Normal 8 2 3 5" xfId="1373" xr:uid="{00000000-0005-0000-0000-0000D31C0000}"/>
    <cellStyle name="Normal 8 2 3 5 2" xfId="3603" xr:uid="{00000000-0005-0000-0000-0000D41C0000}"/>
    <cellStyle name="Normal 8 2 3 5 2 2" xfId="7827" xr:uid="{00000000-0005-0000-0000-0000D51C0000}"/>
    <cellStyle name="Normal 8 2 3 5 2 2 2" xfId="16256" xr:uid="{585B1810-BDA5-487F-92CB-77FCFB0CBE88}"/>
    <cellStyle name="Normal 8 2 3 5 2 3" xfId="12038" xr:uid="{A066C65B-2FB7-4C01-A394-953A04F7B954}"/>
    <cellStyle name="Normal 8 2 3 5 3" xfId="5682" xr:uid="{00000000-0005-0000-0000-0000D61C0000}"/>
    <cellStyle name="Normal 8 2 3 5 3 2" xfId="14111" xr:uid="{AF28057F-7DAA-4F21-9BF1-0278648856CA}"/>
    <cellStyle name="Normal 8 2 3 5 4" xfId="9893" xr:uid="{D6CB7323-3693-4150-82A4-2D804BE66F84}"/>
    <cellStyle name="Normal 8 2 3 6" xfId="1786" xr:uid="{00000000-0005-0000-0000-0000D71C0000}"/>
    <cellStyle name="Normal 8 2 3 6 2" xfId="4016" xr:uid="{00000000-0005-0000-0000-0000D81C0000}"/>
    <cellStyle name="Normal 8 2 3 6 2 2" xfId="8240" xr:uid="{00000000-0005-0000-0000-0000D91C0000}"/>
    <cellStyle name="Normal 8 2 3 6 2 2 2" xfId="16669" xr:uid="{1B31B81B-B320-4EFF-AF4F-A06AF8DDD5D9}"/>
    <cellStyle name="Normal 8 2 3 6 2 3" xfId="12451" xr:uid="{3E338D1E-0568-469E-A7CC-969CCD3461D5}"/>
    <cellStyle name="Normal 8 2 3 6 3" xfId="6095" xr:uid="{00000000-0005-0000-0000-0000DA1C0000}"/>
    <cellStyle name="Normal 8 2 3 6 3 2" xfId="14524" xr:uid="{3D3382FB-E1A2-4441-A34B-135BD6D2483A}"/>
    <cellStyle name="Normal 8 2 3 6 4" xfId="10306" xr:uid="{56A74D7F-C00F-4BDE-813C-F6BF676371E2}"/>
    <cellStyle name="Normal 8 2 3 7" xfId="2200" xr:uid="{00000000-0005-0000-0000-0000DB1C0000}"/>
    <cellStyle name="Normal 8 2 3 7 2" xfId="4429" xr:uid="{00000000-0005-0000-0000-0000DC1C0000}"/>
    <cellStyle name="Normal 8 2 3 7 2 2" xfId="8653" xr:uid="{00000000-0005-0000-0000-0000DD1C0000}"/>
    <cellStyle name="Normal 8 2 3 7 2 2 2" xfId="17082" xr:uid="{96870C00-1467-4821-912F-3A53CDAF4414}"/>
    <cellStyle name="Normal 8 2 3 7 2 3" xfId="12864" xr:uid="{AADBC9FD-E581-4EEB-B061-1CD17688592D}"/>
    <cellStyle name="Normal 8 2 3 7 3" xfId="6508" xr:uid="{00000000-0005-0000-0000-0000DE1C0000}"/>
    <cellStyle name="Normal 8 2 3 7 3 2" xfId="14937" xr:uid="{6996D1E2-658D-4DA5-A133-F8E485700292}"/>
    <cellStyle name="Normal 8 2 3 7 4" xfId="10719" xr:uid="{A825BE7B-6BAF-4C31-8C88-BCE9A783C5DF}"/>
    <cellStyle name="Normal 8 2 3 8" xfId="2636" xr:uid="{00000000-0005-0000-0000-0000DF1C0000}"/>
    <cellStyle name="Normal 8 2 3 8 2" xfId="6921" xr:uid="{00000000-0005-0000-0000-0000E01C0000}"/>
    <cellStyle name="Normal 8 2 3 8 2 2" xfId="15350" xr:uid="{9571B9D1-E662-419F-95E5-8646C1B422CD}"/>
    <cellStyle name="Normal 8 2 3 8 3" xfId="11132" xr:uid="{F07C3731-54E4-409C-978B-CDA7280F5127}"/>
    <cellStyle name="Normal 8 2 3 9" xfId="4856" xr:uid="{00000000-0005-0000-0000-0000E11C0000}"/>
    <cellStyle name="Normal 8 2 3 9 2" xfId="13285" xr:uid="{8039258D-818B-4E0E-86EB-611C5E5FB5D7}"/>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2 2" xfId="15848" xr:uid="{F3082CB1-A978-474E-8425-079991133FF4}"/>
    <cellStyle name="Normal 8 2 4 2 2 2 3" xfId="11630" xr:uid="{180DB50A-9CDF-4C4D-876F-1607C81389C5}"/>
    <cellStyle name="Normal 8 2 4 2 2 3" xfId="5274" xr:uid="{00000000-0005-0000-0000-0000E71C0000}"/>
    <cellStyle name="Normal 8 2 4 2 2 3 2" xfId="13703" xr:uid="{889FE593-18A8-4BF1-87E1-3A5627FF0911}"/>
    <cellStyle name="Normal 8 2 4 2 2 4" xfId="9485" xr:uid="{FBB9A63B-B437-4E6E-B0E1-C8B9B1BAC930}"/>
    <cellStyle name="Normal 8 2 4 2 3" xfId="1378" xr:uid="{00000000-0005-0000-0000-0000E81C0000}"/>
    <cellStyle name="Normal 8 2 4 2 3 2" xfId="3608" xr:uid="{00000000-0005-0000-0000-0000E91C0000}"/>
    <cellStyle name="Normal 8 2 4 2 3 2 2" xfId="7832" xr:uid="{00000000-0005-0000-0000-0000EA1C0000}"/>
    <cellStyle name="Normal 8 2 4 2 3 2 2 2" xfId="16261" xr:uid="{539240D7-2E87-401F-9265-157C0B639B8D}"/>
    <cellStyle name="Normal 8 2 4 2 3 2 3" xfId="12043" xr:uid="{E856C627-B9A0-4E3F-885B-1432B1AA831F}"/>
    <cellStyle name="Normal 8 2 4 2 3 3" xfId="5687" xr:uid="{00000000-0005-0000-0000-0000EB1C0000}"/>
    <cellStyle name="Normal 8 2 4 2 3 3 2" xfId="14116" xr:uid="{F5838F1F-6637-4AC9-B577-15D82424B0B2}"/>
    <cellStyle name="Normal 8 2 4 2 3 4" xfId="9898" xr:uid="{C09DCA03-C91F-4D4D-AF8B-782AA509D345}"/>
    <cellStyle name="Normal 8 2 4 2 4" xfId="1791" xr:uid="{00000000-0005-0000-0000-0000EC1C0000}"/>
    <cellStyle name="Normal 8 2 4 2 4 2" xfId="4021" xr:uid="{00000000-0005-0000-0000-0000ED1C0000}"/>
    <cellStyle name="Normal 8 2 4 2 4 2 2" xfId="8245" xr:uid="{00000000-0005-0000-0000-0000EE1C0000}"/>
    <cellStyle name="Normal 8 2 4 2 4 2 2 2" xfId="16674" xr:uid="{F26E0D02-DC9F-4692-AC75-F232BCDD2C43}"/>
    <cellStyle name="Normal 8 2 4 2 4 2 3" xfId="12456" xr:uid="{8020C2BA-5C72-4B31-AF6B-D9D24005260A}"/>
    <cellStyle name="Normal 8 2 4 2 4 3" xfId="6100" xr:uid="{00000000-0005-0000-0000-0000EF1C0000}"/>
    <cellStyle name="Normal 8 2 4 2 4 3 2" xfId="14529" xr:uid="{8DE0D7C2-D0EE-4D6B-BE5C-6D29AEE8654B}"/>
    <cellStyle name="Normal 8 2 4 2 4 4" xfId="10311" xr:uid="{A580A5A8-FBA7-43B3-9E9E-1B879AE378CC}"/>
    <cellStyle name="Normal 8 2 4 2 5" xfId="2205" xr:uid="{00000000-0005-0000-0000-0000F01C0000}"/>
    <cellStyle name="Normal 8 2 4 2 5 2" xfId="4434" xr:uid="{00000000-0005-0000-0000-0000F11C0000}"/>
    <cellStyle name="Normal 8 2 4 2 5 2 2" xfId="8658" xr:uid="{00000000-0005-0000-0000-0000F21C0000}"/>
    <cellStyle name="Normal 8 2 4 2 5 2 2 2" xfId="17087" xr:uid="{D1927C23-DF9E-4047-83E8-FA69438A37F9}"/>
    <cellStyle name="Normal 8 2 4 2 5 2 3" xfId="12869" xr:uid="{354CFDE5-E9CD-47B5-B537-AB8F06D5F142}"/>
    <cellStyle name="Normal 8 2 4 2 5 3" xfId="6513" xr:uid="{00000000-0005-0000-0000-0000F31C0000}"/>
    <cellStyle name="Normal 8 2 4 2 5 3 2" xfId="14942" xr:uid="{491D376E-D0FC-43BA-8FDB-5C8E18002D58}"/>
    <cellStyle name="Normal 8 2 4 2 5 4" xfId="10724" xr:uid="{44639620-00B0-4D64-852C-429AD790C659}"/>
    <cellStyle name="Normal 8 2 4 2 6" xfId="2641" xr:uid="{00000000-0005-0000-0000-0000F41C0000}"/>
    <cellStyle name="Normal 8 2 4 2 6 2" xfId="6926" xr:uid="{00000000-0005-0000-0000-0000F51C0000}"/>
    <cellStyle name="Normal 8 2 4 2 6 2 2" xfId="15355" xr:uid="{525EA117-F086-4F97-B793-C60495E83764}"/>
    <cellStyle name="Normal 8 2 4 2 6 3" xfId="11137" xr:uid="{D619F7FD-9D30-4B64-AE02-77B2DDC3EB4A}"/>
    <cellStyle name="Normal 8 2 4 2 7" xfId="4861" xr:uid="{00000000-0005-0000-0000-0000F61C0000}"/>
    <cellStyle name="Normal 8 2 4 2 7 2" xfId="13290" xr:uid="{93D5F916-8A2F-4A92-9CAA-F7ED2E5FFB13}"/>
    <cellStyle name="Normal 8 2 4 2 8" xfId="9072" xr:uid="{7B18B731-9F10-49D3-8958-372A59A76D2D}"/>
    <cellStyle name="Normal 8 2 4 3" xfId="960" xr:uid="{00000000-0005-0000-0000-0000F71C0000}"/>
    <cellStyle name="Normal 8 2 4 3 2" xfId="3194" xr:uid="{00000000-0005-0000-0000-0000F81C0000}"/>
    <cellStyle name="Normal 8 2 4 3 2 2" xfId="7418" xr:uid="{00000000-0005-0000-0000-0000F91C0000}"/>
    <cellStyle name="Normal 8 2 4 3 2 2 2" xfId="15847" xr:uid="{FCAEDBE5-40BD-4CF1-95A8-AE81540CA88A}"/>
    <cellStyle name="Normal 8 2 4 3 2 3" xfId="11629" xr:uid="{1ADD71EE-1D49-46B8-BF40-9A7C521AE54E}"/>
    <cellStyle name="Normal 8 2 4 3 3" xfId="5273" xr:uid="{00000000-0005-0000-0000-0000FA1C0000}"/>
    <cellStyle name="Normal 8 2 4 3 3 2" xfId="13702" xr:uid="{0F01E649-5BA3-4283-B2DC-7C12AD24FFB6}"/>
    <cellStyle name="Normal 8 2 4 3 4" xfId="9484" xr:uid="{014F4A47-13EB-4DD9-980E-C2D082AF4A5E}"/>
    <cellStyle name="Normal 8 2 4 4" xfId="1377" xr:uid="{00000000-0005-0000-0000-0000FB1C0000}"/>
    <cellStyle name="Normal 8 2 4 4 2" xfId="3607" xr:uid="{00000000-0005-0000-0000-0000FC1C0000}"/>
    <cellStyle name="Normal 8 2 4 4 2 2" xfId="7831" xr:uid="{00000000-0005-0000-0000-0000FD1C0000}"/>
    <cellStyle name="Normal 8 2 4 4 2 2 2" xfId="16260" xr:uid="{E27D0090-786C-40AD-9F0E-35672DBE8729}"/>
    <cellStyle name="Normal 8 2 4 4 2 3" xfId="12042" xr:uid="{E5D81C05-EB8B-488F-90AE-1361049B1268}"/>
    <cellStyle name="Normal 8 2 4 4 3" xfId="5686" xr:uid="{00000000-0005-0000-0000-0000FE1C0000}"/>
    <cellStyle name="Normal 8 2 4 4 3 2" xfId="14115" xr:uid="{3BF462E0-4765-44C7-AC0B-35D2821CBA1D}"/>
    <cellStyle name="Normal 8 2 4 4 4" xfId="9897" xr:uid="{69DF5A20-9474-449D-BC9B-9CAF663E9E15}"/>
    <cellStyle name="Normal 8 2 4 5" xfId="1790" xr:uid="{00000000-0005-0000-0000-0000FF1C0000}"/>
    <cellStyle name="Normal 8 2 4 5 2" xfId="4020" xr:uid="{00000000-0005-0000-0000-0000001D0000}"/>
    <cellStyle name="Normal 8 2 4 5 2 2" xfId="8244" xr:uid="{00000000-0005-0000-0000-0000011D0000}"/>
    <cellStyle name="Normal 8 2 4 5 2 2 2" xfId="16673" xr:uid="{D1C214C8-0187-4520-B1E1-E08DD2F7E5FE}"/>
    <cellStyle name="Normal 8 2 4 5 2 3" xfId="12455" xr:uid="{CCAC7845-EF76-44C5-B801-F19932D22B1F}"/>
    <cellStyle name="Normal 8 2 4 5 3" xfId="6099" xr:uid="{00000000-0005-0000-0000-0000021D0000}"/>
    <cellStyle name="Normal 8 2 4 5 3 2" xfId="14528" xr:uid="{FE10D2CB-3735-4301-B0E3-4083067542ED}"/>
    <cellStyle name="Normal 8 2 4 5 4" xfId="10310" xr:uid="{D20A535B-1D46-4AA1-AD74-CC57A230B4BF}"/>
    <cellStyle name="Normal 8 2 4 6" xfId="2204" xr:uid="{00000000-0005-0000-0000-0000031D0000}"/>
    <cellStyle name="Normal 8 2 4 6 2" xfId="4433" xr:uid="{00000000-0005-0000-0000-0000041D0000}"/>
    <cellStyle name="Normal 8 2 4 6 2 2" xfId="8657" xr:uid="{00000000-0005-0000-0000-0000051D0000}"/>
    <cellStyle name="Normal 8 2 4 6 2 2 2" xfId="17086" xr:uid="{A1D51585-C6DA-4148-933B-96760D1D3FE9}"/>
    <cellStyle name="Normal 8 2 4 6 2 3" xfId="12868" xr:uid="{28E0B5A5-E4C8-42F1-B124-DED3E4C84FA6}"/>
    <cellStyle name="Normal 8 2 4 6 3" xfId="6512" xr:uid="{00000000-0005-0000-0000-0000061D0000}"/>
    <cellStyle name="Normal 8 2 4 6 3 2" xfId="14941" xr:uid="{C663D3AB-9980-4CE9-994C-E5390035C0EE}"/>
    <cellStyle name="Normal 8 2 4 6 4" xfId="10723" xr:uid="{17B16161-D2C7-4848-BBEF-292872BCA767}"/>
    <cellStyle name="Normal 8 2 4 7" xfId="2640" xr:uid="{00000000-0005-0000-0000-0000071D0000}"/>
    <cellStyle name="Normal 8 2 4 7 2" xfId="6925" xr:uid="{00000000-0005-0000-0000-0000081D0000}"/>
    <cellStyle name="Normal 8 2 4 7 2 2" xfId="15354" xr:uid="{45E504EF-8EDD-439A-944C-D3BD4CEB656C}"/>
    <cellStyle name="Normal 8 2 4 7 3" xfId="11136" xr:uid="{DA05E53A-E6F2-4B0F-A03E-4CCBCB36ED6E}"/>
    <cellStyle name="Normal 8 2 4 8" xfId="4860" xr:uid="{00000000-0005-0000-0000-0000091D0000}"/>
    <cellStyle name="Normal 8 2 4 8 2" xfId="13289" xr:uid="{4D6CAEF6-BBCF-4BAB-A835-CD8343CD113E}"/>
    <cellStyle name="Normal 8 2 4 9" xfId="9071" xr:uid="{481C4B7F-75D6-4BCF-B392-BD64F69C4938}"/>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2 2" xfId="15849" xr:uid="{A13CB7FF-E928-42C4-A6CA-353F79621668}"/>
    <cellStyle name="Normal 8 2 5 2 2 3" xfId="11631" xr:uid="{C089B810-25DC-4BE4-8983-C133697F919C}"/>
    <cellStyle name="Normal 8 2 5 2 3" xfId="5275" xr:uid="{00000000-0005-0000-0000-00000E1D0000}"/>
    <cellStyle name="Normal 8 2 5 2 3 2" xfId="13704" xr:uid="{28F3772B-919D-4410-9017-25D85D93CB43}"/>
    <cellStyle name="Normal 8 2 5 2 4" xfId="9486" xr:uid="{CF26E331-C834-47D9-A7C6-A56BE7BEA6E3}"/>
    <cellStyle name="Normal 8 2 5 3" xfId="1379" xr:uid="{00000000-0005-0000-0000-00000F1D0000}"/>
    <cellStyle name="Normal 8 2 5 3 2" xfId="3609" xr:uid="{00000000-0005-0000-0000-0000101D0000}"/>
    <cellStyle name="Normal 8 2 5 3 2 2" xfId="7833" xr:uid="{00000000-0005-0000-0000-0000111D0000}"/>
    <cellStyle name="Normal 8 2 5 3 2 2 2" xfId="16262" xr:uid="{27D9624B-5187-40F4-880B-4CC33E24D0D2}"/>
    <cellStyle name="Normal 8 2 5 3 2 3" xfId="12044" xr:uid="{8EC26E16-87FF-4FE9-9688-4CAE60F77E0E}"/>
    <cellStyle name="Normal 8 2 5 3 3" xfId="5688" xr:uid="{00000000-0005-0000-0000-0000121D0000}"/>
    <cellStyle name="Normal 8 2 5 3 3 2" xfId="14117" xr:uid="{3B026684-3D85-41F3-A7B2-233D7ADAD383}"/>
    <cellStyle name="Normal 8 2 5 3 4" xfId="9899" xr:uid="{6392C52C-68BB-4535-A7E4-F77BB15E5CC4}"/>
    <cellStyle name="Normal 8 2 5 4" xfId="1792" xr:uid="{00000000-0005-0000-0000-0000131D0000}"/>
    <cellStyle name="Normal 8 2 5 4 2" xfId="4022" xr:uid="{00000000-0005-0000-0000-0000141D0000}"/>
    <cellStyle name="Normal 8 2 5 4 2 2" xfId="8246" xr:uid="{00000000-0005-0000-0000-0000151D0000}"/>
    <cellStyle name="Normal 8 2 5 4 2 2 2" xfId="16675" xr:uid="{E363B3A6-B32C-45AE-AD96-BA96A3B192FD}"/>
    <cellStyle name="Normal 8 2 5 4 2 3" xfId="12457" xr:uid="{7D83F448-9469-43F6-848A-01D6556FE918}"/>
    <cellStyle name="Normal 8 2 5 4 3" xfId="6101" xr:uid="{00000000-0005-0000-0000-0000161D0000}"/>
    <cellStyle name="Normal 8 2 5 4 3 2" xfId="14530" xr:uid="{95464040-1E06-4FBA-8439-75417EA9FBFC}"/>
    <cellStyle name="Normal 8 2 5 4 4" xfId="10312" xr:uid="{27C600CC-45CB-4BE7-822B-046179005AD3}"/>
    <cellStyle name="Normal 8 2 5 5" xfId="2206" xr:uid="{00000000-0005-0000-0000-0000171D0000}"/>
    <cellStyle name="Normal 8 2 5 5 2" xfId="4435" xr:uid="{00000000-0005-0000-0000-0000181D0000}"/>
    <cellStyle name="Normal 8 2 5 5 2 2" xfId="8659" xr:uid="{00000000-0005-0000-0000-0000191D0000}"/>
    <cellStyle name="Normal 8 2 5 5 2 2 2" xfId="17088" xr:uid="{252E73F7-29FD-4C57-8FED-8600E0B16558}"/>
    <cellStyle name="Normal 8 2 5 5 2 3" xfId="12870" xr:uid="{D6B0235B-F8E1-453F-A6D9-201CDB6AE177}"/>
    <cellStyle name="Normal 8 2 5 5 3" xfId="6514" xr:uid="{00000000-0005-0000-0000-00001A1D0000}"/>
    <cellStyle name="Normal 8 2 5 5 3 2" xfId="14943" xr:uid="{644CE17E-9BA1-4B4E-A01E-655EA91A8FBC}"/>
    <cellStyle name="Normal 8 2 5 5 4" xfId="10725" xr:uid="{C9863772-3BFC-4E60-ACFB-E6D7BDB3CFA4}"/>
    <cellStyle name="Normal 8 2 5 6" xfId="2642" xr:uid="{00000000-0005-0000-0000-00001B1D0000}"/>
    <cellStyle name="Normal 8 2 5 6 2" xfId="6927" xr:uid="{00000000-0005-0000-0000-00001C1D0000}"/>
    <cellStyle name="Normal 8 2 5 6 2 2" xfId="15356" xr:uid="{3C963BA0-7DC9-4D0C-8849-3AE26FCFEF90}"/>
    <cellStyle name="Normal 8 2 5 6 3" xfId="11138" xr:uid="{4B1CA823-BED8-4B9A-860B-1349EFA57F23}"/>
    <cellStyle name="Normal 8 2 5 7" xfId="4862" xr:uid="{00000000-0005-0000-0000-00001D1D0000}"/>
    <cellStyle name="Normal 8 2 5 7 2" xfId="13291" xr:uid="{AFAA1B96-D790-45D1-8E96-8A21FE12AC0E}"/>
    <cellStyle name="Normal 8 2 5 8" xfId="9073" xr:uid="{0A492AFA-3385-4DDB-B83E-33E37D92CED8}"/>
    <cellStyle name="Normal 8 2 6" xfId="947" xr:uid="{00000000-0005-0000-0000-00001E1D0000}"/>
    <cellStyle name="Normal 8 2 6 2" xfId="3181" xr:uid="{00000000-0005-0000-0000-00001F1D0000}"/>
    <cellStyle name="Normal 8 2 6 2 2" xfId="7405" xr:uid="{00000000-0005-0000-0000-0000201D0000}"/>
    <cellStyle name="Normal 8 2 6 2 2 2" xfId="15834" xr:uid="{84D39C0D-54B0-490F-A4E0-4F84B9C5C5B8}"/>
    <cellStyle name="Normal 8 2 6 2 3" xfId="11616" xr:uid="{23E31142-9D5C-405E-BAFF-32B0CF97A86C}"/>
    <cellStyle name="Normal 8 2 6 3" xfId="5260" xr:uid="{00000000-0005-0000-0000-0000211D0000}"/>
    <cellStyle name="Normal 8 2 6 3 2" xfId="13689" xr:uid="{4B9AF642-D878-4A5C-8620-E6D3174FB233}"/>
    <cellStyle name="Normal 8 2 6 4" xfId="9471" xr:uid="{5EEC4036-19C7-4557-BA07-51616CA955D0}"/>
    <cellStyle name="Normal 8 2 7" xfId="1364" xr:uid="{00000000-0005-0000-0000-0000221D0000}"/>
    <cellStyle name="Normal 8 2 7 2" xfId="3594" xr:uid="{00000000-0005-0000-0000-0000231D0000}"/>
    <cellStyle name="Normal 8 2 7 2 2" xfId="7818" xr:uid="{00000000-0005-0000-0000-0000241D0000}"/>
    <cellStyle name="Normal 8 2 7 2 2 2" xfId="16247" xr:uid="{FE301F20-2E91-40B2-A800-B22EF82149E8}"/>
    <cellStyle name="Normal 8 2 7 2 3" xfId="12029" xr:uid="{FA4AC5E1-BABD-403F-9864-E745831F52D8}"/>
    <cellStyle name="Normal 8 2 7 3" xfId="5673" xr:uid="{00000000-0005-0000-0000-0000251D0000}"/>
    <cellStyle name="Normal 8 2 7 3 2" xfId="14102" xr:uid="{6C6FA43F-DAFD-4FBE-AFC8-91E080AB65B1}"/>
    <cellStyle name="Normal 8 2 7 4" xfId="9884" xr:uid="{E6A71AF6-543B-4967-B3BE-7E06C733F412}"/>
    <cellStyle name="Normal 8 2 8" xfId="1777" xr:uid="{00000000-0005-0000-0000-0000261D0000}"/>
    <cellStyle name="Normal 8 2 8 2" xfId="4007" xr:uid="{00000000-0005-0000-0000-0000271D0000}"/>
    <cellStyle name="Normal 8 2 8 2 2" xfId="8231" xr:uid="{00000000-0005-0000-0000-0000281D0000}"/>
    <cellStyle name="Normal 8 2 8 2 2 2" xfId="16660" xr:uid="{0CB1F615-8128-4018-A75D-2B10FB2F1B8C}"/>
    <cellStyle name="Normal 8 2 8 2 3" xfId="12442" xr:uid="{319DC481-921A-4B14-9E9E-BADFC0814492}"/>
    <cellStyle name="Normal 8 2 8 3" xfId="6086" xr:uid="{00000000-0005-0000-0000-0000291D0000}"/>
    <cellStyle name="Normal 8 2 8 3 2" xfId="14515" xr:uid="{64582C66-8D49-4C81-820D-F23C6AA07AF2}"/>
    <cellStyle name="Normal 8 2 8 4" xfId="10297" xr:uid="{DFE5DF7F-9E5E-4E3C-A134-8F4888056DFD}"/>
    <cellStyle name="Normal 8 2 9" xfId="2191" xr:uid="{00000000-0005-0000-0000-00002A1D0000}"/>
    <cellStyle name="Normal 8 2 9 2" xfId="4420" xr:uid="{00000000-0005-0000-0000-00002B1D0000}"/>
    <cellStyle name="Normal 8 2 9 2 2" xfId="8644" xr:uid="{00000000-0005-0000-0000-00002C1D0000}"/>
    <cellStyle name="Normal 8 2 9 2 2 2" xfId="17073" xr:uid="{7519BF49-A3A8-4350-86F4-A091255A2392}"/>
    <cellStyle name="Normal 8 2 9 2 3" xfId="12855" xr:uid="{2F888D85-87F3-4A66-9DFF-1186BE407272}"/>
    <cellStyle name="Normal 8 2 9 3" xfId="6499" xr:uid="{00000000-0005-0000-0000-00002D1D0000}"/>
    <cellStyle name="Normal 8 2 9 3 2" xfId="14928" xr:uid="{25049531-80EF-4B8C-87F3-14AE9C0E69CC}"/>
    <cellStyle name="Normal 8 2 9 4" xfId="10710" xr:uid="{20C90894-6797-4F1F-A0BC-F1BE663A273C}"/>
    <cellStyle name="Normal 8 3" xfId="495" xr:uid="{00000000-0005-0000-0000-00002E1D0000}"/>
    <cellStyle name="Normal 8 3 10" xfId="4863" xr:uid="{00000000-0005-0000-0000-00002F1D0000}"/>
    <cellStyle name="Normal 8 3 10 2" xfId="13292" xr:uid="{5723B5A5-D6F8-441B-8724-E0CC72C4DB62}"/>
    <cellStyle name="Normal 8 3 11" xfId="9074" xr:uid="{9D3B6F74-3C67-4778-ADDF-AF272A6D0D60}"/>
    <cellStyle name="Normal 8 3 2" xfId="496" xr:uid="{00000000-0005-0000-0000-0000301D0000}"/>
    <cellStyle name="Normal 8 3 2 10" xfId="9075" xr:uid="{39FF2FF5-4A65-40BE-B73B-07089B945946}"/>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2 2" xfId="15853" xr:uid="{36CF0B4B-4D53-4BDF-8791-D8A0C7D43125}"/>
    <cellStyle name="Normal 8 3 2 2 2 2 2 3" xfId="11635" xr:uid="{B1202A5B-26CA-49F3-BB53-79E7E6735AD3}"/>
    <cellStyle name="Normal 8 3 2 2 2 2 3" xfId="5279" xr:uid="{00000000-0005-0000-0000-0000361D0000}"/>
    <cellStyle name="Normal 8 3 2 2 2 2 3 2" xfId="13708" xr:uid="{364B4072-8606-488F-A66D-7061CB3D5BBD}"/>
    <cellStyle name="Normal 8 3 2 2 2 2 4" xfId="9490" xr:uid="{134B272C-674C-4B55-A430-14C28481D87F}"/>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2 2" xfId="16266" xr:uid="{98366C1B-FA04-43B9-8524-CDEB48405162}"/>
    <cellStyle name="Normal 8 3 2 2 2 3 2 3" xfId="12048" xr:uid="{F0A19C33-8F1B-457D-B2CC-771CD257D51D}"/>
    <cellStyle name="Normal 8 3 2 2 2 3 3" xfId="5692" xr:uid="{00000000-0005-0000-0000-00003A1D0000}"/>
    <cellStyle name="Normal 8 3 2 2 2 3 3 2" xfId="14121" xr:uid="{77BE0634-8CCA-4609-837C-739608C45B50}"/>
    <cellStyle name="Normal 8 3 2 2 2 3 4" xfId="9903" xr:uid="{A98E2042-E9A1-4604-B1FB-4A3B2E80327D}"/>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2 2" xfId="16679" xr:uid="{99E1C8B8-3464-451A-B6BE-7E8A01DBEFBD}"/>
    <cellStyle name="Normal 8 3 2 2 2 4 2 3" xfId="12461" xr:uid="{A937F933-AD2F-4148-9B10-5567A7C7C827}"/>
    <cellStyle name="Normal 8 3 2 2 2 4 3" xfId="6105" xr:uid="{00000000-0005-0000-0000-00003E1D0000}"/>
    <cellStyle name="Normal 8 3 2 2 2 4 3 2" xfId="14534" xr:uid="{750145F6-19A1-40B6-AA3F-B4912B7603F3}"/>
    <cellStyle name="Normal 8 3 2 2 2 4 4" xfId="10316" xr:uid="{15CD3BCD-1B84-40D0-923E-4BA363DB2619}"/>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2 2" xfId="17092" xr:uid="{2F4A395B-7FCD-4058-ACBF-FE04E7DB3943}"/>
    <cellStyle name="Normal 8 3 2 2 2 5 2 3" xfId="12874" xr:uid="{FFB429A7-69F7-4960-8100-8382E22B08E0}"/>
    <cellStyle name="Normal 8 3 2 2 2 5 3" xfId="6518" xr:uid="{00000000-0005-0000-0000-0000421D0000}"/>
    <cellStyle name="Normal 8 3 2 2 2 5 3 2" xfId="14947" xr:uid="{7E877FF3-1D29-4B2A-8538-5CA111697CD2}"/>
    <cellStyle name="Normal 8 3 2 2 2 5 4" xfId="10729" xr:uid="{590018D5-1723-455C-83A5-2A66A0EA5849}"/>
    <cellStyle name="Normal 8 3 2 2 2 6" xfId="2646" xr:uid="{00000000-0005-0000-0000-0000431D0000}"/>
    <cellStyle name="Normal 8 3 2 2 2 6 2" xfId="6931" xr:uid="{00000000-0005-0000-0000-0000441D0000}"/>
    <cellStyle name="Normal 8 3 2 2 2 6 2 2" xfId="15360" xr:uid="{79C3626A-2749-46C7-8A0B-67D51F8E70F9}"/>
    <cellStyle name="Normal 8 3 2 2 2 6 3" xfId="11142" xr:uid="{963CAB58-F3B8-4B83-A630-E8B94FABCCAB}"/>
    <cellStyle name="Normal 8 3 2 2 2 7" xfId="4866" xr:uid="{00000000-0005-0000-0000-0000451D0000}"/>
    <cellStyle name="Normal 8 3 2 2 2 7 2" xfId="13295" xr:uid="{5CE1D071-7CE2-4E48-9691-7171D5E55D66}"/>
    <cellStyle name="Normal 8 3 2 2 2 8" xfId="9077" xr:uid="{00B6404F-3436-45FB-8CE4-3A1EF2BC2E42}"/>
    <cellStyle name="Normal 8 3 2 2 3" xfId="965" xr:uid="{00000000-0005-0000-0000-0000461D0000}"/>
    <cellStyle name="Normal 8 3 2 2 3 2" xfId="3199" xr:uid="{00000000-0005-0000-0000-0000471D0000}"/>
    <cellStyle name="Normal 8 3 2 2 3 2 2" xfId="7423" xr:uid="{00000000-0005-0000-0000-0000481D0000}"/>
    <cellStyle name="Normal 8 3 2 2 3 2 2 2" xfId="15852" xr:uid="{A8A6152E-2E61-4D82-AA4D-077473B9DB6B}"/>
    <cellStyle name="Normal 8 3 2 2 3 2 3" xfId="11634" xr:uid="{AEE3DE54-5E14-4C0F-9AD6-1C148F980384}"/>
    <cellStyle name="Normal 8 3 2 2 3 3" xfId="5278" xr:uid="{00000000-0005-0000-0000-0000491D0000}"/>
    <cellStyle name="Normal 8 3 2 2 3 3 2" xfId="13707" xr:uid="{2C4AE52E-D9ED-4662-8FB3-93BEBCE2FC27}"/>
    <cellStyle name="Normal 8 3 2 2 3 4" xfId="9489" xr:uid="{E53AAC6F-9A06-4AA4-8493-89963CAF600C}"/>
    <cellStyle name="Normal 8 3 2 2 4" xfId="1382" xr:uid="{00000000-0005-0000-0000-00004A1D0000}"/>
    <cellStyle name="Normal 8 3 2 2 4 2" xfId="3612" xr:uid="{00000000-0005-0000-0000-00004B1D0000}"/>
    <cellStyle name="Normal 8 3 2 2 4 2 2" xfId="7836" xr:uid="{00000000-0005-0000-0000-00004C1D0000}"/>
    <cellStyle name="Normal 8 3 2 2 4 2 2 2" xfId="16265" xr:uid="{4F3B25E4-883B-4E13-ABAC-305213ED6EBA}"/>
    <cellStyle name="Normal 8 3 2 2 4 2 3" xfId="12047" xr:uid="{0B5A0995-7323-49E5-BBFE-1E56FC320BA0}"/>
    <cellStyle name="Normal 8 3 2 2 4 3" xfId="5691" xr:uid="{00000000-0005-0000-0000-00004D1D0000}"/>
    <cellStyle name="Normal 8 3 2 2 4 3 2" xfId="14120" xr:uid="{BC0FE5D6-5314-41D1-88B6-53EF2F932739}"/>
    <cellStyle name="Normal 8 3 2 2 4 4" xfId="9902" xr:uid="{7D89A689-A8C2-4B1E-A4E7-EA76C08A98B8}"/>
    <cellStyle name="Normal 8 3 2 2 5" xfId="1795" xr:uid="{00000000-0005-0000-0000-00004E1D0000}"/>
    <cellStyle name="Normal 8 3 2 2 5 2" xfId="4025" xr:uid="{00000000-0005-0000-0000-00004F1D0000}"/>
    <cellStyle name="Normal 8 3 2 2 5 2 2" xfId="8249" xr:uid="{00000000-0005-0000-0000-0000501D0000}"/>
    <cellStyle name="Normal 8 3 2 2 5 2 2 2" xfId="16678" xr:uid="{4279805F-0065-4482-9150-D7E0C02E659A}"/>
    <cellStyle name="Normal 8 3 2 2 5 2 3" xfId="12460" xr:uid="{CF4D5F6A-F74B-414D-AFC5-EF1447CC42ED}"/>
    <cellStyle name="Normal 8 3 2 2 5 3" xfId="6104" xr:uid="{00000000-0005-0000-0000-0000511D0000}"/>
    <cellStyle name="Normal 8 3 2 2 5 3 2" xfId="14533" xr:uid="{6C5A07B2-3C85-4D26-95AC-F51CD164B6E3}"/>
    <cellStyle name="Normal 8 3 2 2 5 4" xfId="10315" xr:uid="{68BFE63B-4BC1-4295-8C95-3890570D3F82}"/>
    <cellStyle name="Normal 8 3 2 2 6" xfId="2209" xr:uid="{00000000-0005-0000-0000-0000521D0000}"/>
    <cellStyle name="Normal 8 3 2 2 6 2" xfId="4438" xr:uid="{00000000-0005-0000-0000-0000531D0000}"/>
    <cellStyle name="Normal 8 3 2 2 6 2 2" xfId="8662" xr:uid="{00000000-0005-0000-0000-0000541D0000}"/>
    <cellStyle name="Normal 8 3 2 2 6 2 2 2" xfId="17091" xr:uid="{BF20D07A-C7C5-412B-993A-E346F0F337C6}"/>
    <cellStyle name="Normal 8 3 2 2 6 2 3" xfId="12873" xr:uid="{61514E46-A553-431E-9CCA-D75D2565195F}"/>
    <cellStyle name="Normal 8 3 2 2 6 3" xfId="6517" xr:uid="{00000000-0005-0000-0000-0000551D0000}"/>
    <cellStyle name="Normal 8 3 2 2 6 3 2" xfId="14946" xr:uid="{5E88F8EA-941D-47FE-AAA1-E3F321CEB4B9}"/>
    <cellStyle name="Normal 8 3 2 2 6 4" xfId="10728" xr:uid="{38CD47DE-42A3-4148-B0CA-332CA0D03E38}"/>
    <cellStyle name="Normal 8 3 2 2 7" xfId="2645" xr:uid="{00000000-0005-0000-0000-0000561D0000}"/>
    <cellStyle name="Normal 8 3 2 2 7 2" xfId="6930" xr:uid="{00000000-0005-0000-0000-0000571D0000}"/>
    <cellStyle name="Normal 8 3 2 2 7 2 2" xfId="15359" xr:uid="{877BAC08-47EB-4951-B926-6233F7A11088}"/>
    <cellStyle name="Normal 8 3 2 2 7 3" xfId="11141" xr:uid="{7F3047DE-97B5-466A-9194-84F0AF6E2FE1}"/>
    <cellStyle name="Normal 8 3 2 2 8" xfId="4865" xr:uid="{00000000-0005-0000-0000-0000581D0000}"/>
    <cellStyle name="Normal 8 3 2 2 8 2" xfId="13294" xr:uid="{7676DF35-958D-4E42-BC82-720709CC9936}"/>
    <cellStyle name="Normal 8 3 2 2 9" xfId="9076" xr:uid="{0783CB19-C96C-4150-B209-42FDA306C6B3}"/>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2 2" xfId="15854" xr:uid="{D51AA839-D6EE-42DE-BCEE-28790F5E85E5}"/>
    <cellStyle name="Normal 8 3 2 3 2 2 3" xfId="11636" xr:uid="{68772E83-2248-4168-9C70-EB84B6FB998F}"/>
    <cellStyle name="Normal 8 3 2 3 2 3" xfId="5280" xr:uid="{00000000-0005-0000-0000-00005D1D0000}"/>
    <cellStyle name="Normal 8 3 2 3 2 3 2" xfId="13709" xr:uid="{EF521989-4561-4229-BB31-B216979A97E0}"/>
    <cellStyle name="Normal 8 3 2 3 2 4" xfId="9491" xr:uid="{44F4B818-3990-441E-9A2C-BDAB6AB0E23E}"/>
    <cellStyle name="Normal 8 3 2 3 3" xfId="1384" xr:uid="{00000000-0005-0000-0000-00005E1D0000}"/>
    <cellStyle name="Normal 8 3 2 3 3 2" xfId="3614" xr:uid="{00000000-0005-0000-0000-00005F1D0000}"/>
    <cellStyle name="Normal 8 3 2 3 3 2 2" xfId="7838" xr:uid="{00000000-0005-0000-0000-0000601D0000}"/>
    <cellStyle name="Normal 8 3 2 3 3 2 2 2" xfId="16267" xr:uid="{AA3C9539-5F4C-4501-8275-9FCCC46552F2}"/>
    <cellStyle name="Normal 8 3 2 3 3 2 3" xfId="12049" xr:uid="{69A14C20-F813-44A4-854E-C22E0473524B}"/>
    <cellStyle name="Normal 8 3 2 3 3 3" xfId="5693" xr:uid="{00000000-0005-0000-0000-0000611D0000}"/>
    <cellStyle name="Normal 8 3 2 3 3 3 2" xfId="14122" xr:uid="{FBAD7B12-61A2-4A94-AF5A-0F84C9E8F9BE}"/>
    <cellStyle name="Normal 8 3 2 3 3 4" xfId="9904" xr:uid="{25E2CA6B-CB37-4AD5-995E-B5971812AE54}"/>
    <cellStyle name="Normal 8 3 2 3 4" xfId="1797" xr:uid="{00000000-0005-0000-0000-0000621D0000}"/>
    <cellStyle name="Normal 8 3 2 3 4 2" xfId="4027" xr:uid="{00000000-0005-0000-0000-0000631D0000}"/>
    <cellStyle name="Normal 8 3 2 3 4 2 2" xfId="8251" xr:uid="{00000000-0005-0000-0000-0000641D0000}"/>
    <cellStyle name="Normal 8 3 2 3 4 2 2 2" xfId="16680" xr:uid="{B137A32A-75F7-4A17-8494-F43379362110}"/>
    <cellStyle name="Normal 8 3 2 3 4 2 3" xfId="12462" xr:uid="{459CEA61-B08D-4F7B-8048-84D723763709}"/>
    <cellStyle name="Normal 8 3 2 3 4 3" xfId="6106" xr:uid="{00000000-0005-0000-0000-0000651D0000}"/>
    <cellStyle name="Normal 8 3 2 3 4 3 2" xfId="14535" xr:uid="{002247BD-AACC-4633-B453-F06E1C1D187F}"/>
    <cellStyle name="Normal 8 3 2 3 4 4" xfId="10317" xr:uid="{ED7519D6-1B2A-4EE9-87D8-5B510A310C01}"/>
    <cellStyle name="Normal 8 3 2 3 5" xfId="2211" xr:uid="{00000000-0005-0000-0000-0000661D0000}"/>
    <cellStyle name="Normal 8 3 2 3 5 2" xfId="4440" xr:uid="{00000000-0005-0000-0000-0000671D0000}"/>
    <cellStyle name="Normal 8 3 2 3 5 2 2" xfId="8664" xr:uid="{00000000-0005-0000-0000-0000681D0000}"/>
    <cellStyle name="Normal 8 3 2 3 5 2 2 2" xfId="17093" xr:uid="{B0D91C15-8A1E-4298-9DB3-8BB135BD8F31}"/>
    <cellStyle name="Normal 8 3 2 3 5 2 3" xfId="12875" xr:uid="{6D885D71-19B2-4F53-BA94-EBA079145D1F}"/>
    <cellStyle name="Normal 8 3 2 3 5 3" xfId="6519" xr:uid="{00000000-0005-0000-0000-0000691D0000}"/>
    <cellStyle name="Normal 8 3 2 3 5 3 2" xfId="14948" xr:uid="{A3978D23-3B66-4253-A5A4-9A1F0FE38C5E}"/>
    <cellStyle name="Normal 8 3 2 3 5 4" xfId="10730" xr:uid="{959C7914-6952-4B71-813F-F3070C25435F}"/>
    <cellStyle name="Normal 8 3 2 3 6" xfId="2647" xr:uid="{00000000-0005-0000-0000-00006A1D0000}"/>
    <cellStyle name="Normal 8 3 2 3 6 2" xfId="6932" xr:uid="{00000000-0005-0000-0000-00006B1D0000}"/>
    <cellStyle name="Normal 8 3 2 3 6 2 2" xfId="15361" xr:uid="{E419A82F-A15A-4C1D-B2BD-A5FA7FA05E72}"/>
    <cellStyle name="Normal 8 3 2 3 6 3" xfId="11143" xr:uid="{40889E88-D85A-4C73-9188-5AE97673E879}"/>
    <cellStyle name="Normal 8 3 2 3 7" xfId="4867" xr:uid="{00000000-0005-0000-0000-00006C1D0000}"/>
    <cellStyle name="Normal 8 3 2 3 7 2" xfId="13296" xr:uid="{9EDF8DDA-3332-4D81-BBA2-FCDCC73F9AE7}"/>
    <cellStyle name="Normal 8 3 2 3 8" xfId="9078" xr:uid="{4F3E8539-DFA2-4390-9C38-9C8340A8A051}"/>
    <cellStyle name="Normal 8 3 2 4" xfId="964" xr:uid="{00000000-0005-0000-0000-00006D1D0000}"/>
    <cellStyle name="Normal 8 3 2 4 2" xfId="3198" xr:uid="{00000000-0005-0000-0000-00006E1D0000}"/>
    <cellStyle name="Normal 8 3 2 4 2 2" xfId="7422" xr:uid="{00000000-0005-0000-0000-00006F1D0000}"/>
    <cellStyle name="Normal 8 3 2 4 2 2 2" xfId="15851" xr:uid="{77FFC9F5-7199-4E0A-BAAA-737C3AF9F92F}"/>
    <cellStyle name="Normal 8 3 2 4 2 3" xfId="11633" xr:uid="{FD296ADB-4D6C-4B63-B240-650525B57C0F}"/>
    <cellStyle name="Normal 8 3 2 4 3" xfId="5277" xr:uid="{00000000-0005-0000-0000-0000701D0000}"/>
    <cellStyle name="Normal 8 3 2 4 3 2" xfId="13706" xr:uid="{A59CACDE-70B9-42EB-B3FF-8B3FA2EEA911}"/>
    <cellStyle name="Normal 8 3 2 4 4" xfId="9488" xr:uid="{228DF19F-97FF-4091-AADE-40EC59DB6879}"/>
    <cellStyle name="Normal 8 3 2 5" xfId="1381" xr:uid="{00000000-0005-0000-0000-0000711D0000}"/>
    <cellStyle name="Normal 8 3 2 5 2" xfId="3611" xr:uid="{00000000-0005-0000-0000-0000721D0000}"/>
    <cellStyle name="Normal 8 3 2 5 2 2" xfId="7835" xr:uid="{00000000-0005-0000-0000-0000731D0000}"/>
    <cellStyle name="Normal 8 3 2 5 2 2 2" xfId="16264" xr:uid="{AA854AAB-5200-40A9-BCE9-B87F39753862}"/>
    <cellStyle name="Normal 8 3 2 5 2 3" xfId="12046" xr:uid="{964FF3F9-2F47-4A4A-9B2B-D860B4036458}"/>
    <cellStyle name="Normal 8 3 2 5 3" xfId="5690" xr:uid="{00000000-0005-0000-0000-0000741D0000}"/>
    <cellStyle name="Normal 8 3 2 5 3 2" xfId="14119" xr:uid="{BF491D03-B318-41FD-A7DA-97C7E1599174}"/>
    <cellStyle name="Normal 8 3 2 5 4" xfId="9901" xr:uid="{2A7B3972-C24E-4945-A17B-A8E866FCBE14}"/>
    <cellStyle name="Normal 8 3 2 6" xfId="1794" xr:uid="{00000000-0005-0000-0000-0000751D0000}"/>
    <cellStyle name="Normal 8 3 2 6 2" xfId="4024" xr:uid="{00000000-0005-0000-0000-0000761D0000}"/>
    <cellStyle name="Normal 8 3 2 6 2 2" xfId="8248" xr:uid="{00000000-0005-0000-0000-0000771D0000}"/>
    <cellStyle name="Normal 8 3 2 6 2 2 2" xfId="16677" xr:uid="{B6ED8583-2734-4921-98E1-1E579CE14CA1}"/>
    <cellStyle name="Normal 8 3 2 6 2 3" xfId="12459" xr:uid="{7BB39366-71AD-47A6-A861-5EBF0CA70511}"/>
    <cellStyle name="Normal 8 3 2 6 3" xfId="6103" xr:uid="{00000000-0005-0000-0000-0000781D0000}"/>
    <cellStyle name="Normal 8 3 2 6 3 2" xfId="14532" xr:uid="{7E3A4957-A084-4116-B7E4-2CB7D7A37E07}"/>
    <cellStyle name="Normal 8 3 2 6 4" xfId="10314" xr:uid="{8C4AEF67-0121-4E0E-B427-F732ECC4E89B}"/>
    <cellStyle name="Normal 8 3 2 7" xfId="2208" xr:uid="{00000000-0005-0000-0000-0000791D0000}"/>
    <cellStyle name="Normal 8 3 2 7 2" xfId="4437" xr:uid="{00000000-0005-0000-0000-00007A1D0000}"/>
    <cellStyle name="Normal 8 3 2 7 2 2" xfId="8661" xr:uid="{00000000-0005-0000-0000-00007B1D0000}"/>
    <cellStyle name="Normal 8 3 2 7 2 2 2" xfId="17090" xr:uid="{DC00350F-591F-4B88-B180-46170624E65D}"/>
    <cellStyle name="Normal 8 3 2 7 2 3" xfId="12872" xr:uid="{5D090AD8-6035-4919-B821-B6FC76D261E9}"/>
    <cellStyle name="Normal 8 3 2 7 3" xfId="6516" xr:uid="{00000000-0005-0000-0000-00007C1D0000}"/>
    <cellStyle name="Normal 8 3 2 7 3 2" xfId="14945" xr:uid="{97066E1F-47A3-41B6-A9E4-F7863BE9EF63}"/>
    <cellStyle name="Normal 8 3 2 7 4" xfId="10727" xr:uid="{1AB33AAF-DD44-4D85-B934-A3ADE40BFDA6}"/>
    <cellStyle name="Normal 8 3 2 8" xfId="2644" xr:uid="{00000000-0005-0000-0000-00007D1D0000}"/>
    <cellStyle name="Normal 8 3 2 8 2" xfId="6929" xr:uid="{00000000-0005-0000-0000-00007E1D0000}"/>
    <cellStyle name="Normal 8 3 2 8 2 2" xfId="15358" xr:uid="{A6F46954-58D9-4D9C-B2BC-79B30F3AB022}"/>
    <cellStyle name="Normal 8 3 2 8 3" xfId="11140" xr:uid="{2D71FD1D-1975-4625-B1D4-690EC2A787E9}"/>
    <cellStyle name="Normal 8 3 2 9" xfId="4864" xr:uid="{00000000-0005-0000-0000-00007F1D0000}"/>
    <cellStyle name="Normal 8 3 2 9 2" xfId="13293" xr:uid="{62142778-D5B4-4333-BA7C-9746671417E3}"/>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2 2" xfId="15856" xr:uid="{FC039CC4-06C3-4134-80A3-CFEDDAFAC9FB}"/>
    <cellStyle name="Normal 8 3 3 2 2 2 3" xfId="11638" xr:uid="{E3FD58E6-1867-4D92-B4F9-6E96D45E554B}"/>
    <cellStyle name="Normal 8 3 3 2 2 3" xfId="5282" xr:uid="{00000000-0005-0000-0000-0000851D0000}"/>
    <cellStyle name="Normal 8 3 3 2 2 3 2" xfId="13711" xr:uid="{DF461857-FFCF-4411-AC52-ACC7F7FD259C}"/>
    <cellStyle name="Normal 8 3 3 2 2 4" xfId="9493" xr:uid="{37815A94-5F94-4B17-BA0A-F41892BDB403}"/>
    <cellStyle name="Normal 8 3 3 2 3" xfId="1386" xr:uid="{00000000-0005-0000-0000-0000861D0000}"/>
    <cellStyle name="Normal 8 3 3 2 3 2" xfId="3616" xr:uid="{00000000-0005-0000-0000-0000871D0000}"/>
    <cellStyle name="Normal 8 3 3 2 3 2 2" xfId="7840" xr:uid="{00000000-0005-0000-0000-0000881D0000}"/>
    <cellStyle name="Normal 8 3 3 2 3 2 2 2" xfId="16269" xr:uid="{5B2E0756-98DE-46A8-A14F-BDE5FCA9E28B}"/>
    <cellStyle name="Normal 8 3 3 2 3 2 3" xfId="12051" xr:uid="{545B4720-7842-4EA8-BE6C-54F63399A4A4}"/>
    <cellStyle name="Normal 8 3 3 2 3 3" xfId="5695" xr:uid="{00000000-0005-0000-0000-0000891D0000}"/>
    <cellStyle name="Normal 8 3 3 2 3 3 2" xfId="14124" xr:uid="{27B30854-858B-4D84-B09E-7DC5160D1121}"/>
    <cellStyle name="Normal 8 3 3 2 3 4" xfId="9906" xr:uid="{6010B6A1-B5F9-472F-AC83-ECB054FDEC8F}"/>
    <cellStyle name="Normal 8 3 3 2 4" xfId="1799" xr:uid="{00000000-0005-0000-0000-00008A1D0000}"/>
    <cellStyle name="Normal 8 3 3 2 4 2" xfId="4029" xr:uid="{00000000-0005-0000-0000-00008B1D0000}"/>
    <cellStyle name="Normal 8 3 3 2 4 2 2" xfId="8253" xr:uid="{00000000-0005-0000-0000-00008C1D0000}"/>
    <cellStyle name="Normal 8 3 3 2 4 2 2 2" xfId="16682" xr:uid="{F06FA37F-8A8C-4B08-A108-0D2144A940F6}"/>
    <cellStyle name="Normal 8 3 3 2 4 2 3" xfId="12464" xr:uid="{3B91E161-A8D5-4F2B-8022-313C0097B7AA}"/>
    <cellStyle name="Normal 8 3 3 2 4 3" xfId="6108" xr:uid="{00000000-0005-0000-0000-00008D1D0000}"/>
    <cellStyle name="Normal 8 3 3 2 4 3 2" xfId="14537" xr:uid="{EFAF5383-F51C-438A-A17B-21AD11589CB1}"/>
    <cellStyle name="Normal 8 3 3 2 4 4" xfId="10319" xr:uid="{53A6786D-5697-49CD-810D-DE6C5F213969}"/>
    <cellStyle name="Normal 8 3 3 2 5" xfId="2213" xr:uid="{00000000-0005-0000-0000-00008E1D0000}"/>
    <cellStyle name="Normal 8 3 3 2 5 2" xfId="4442" xr:uid="{00000000-0005-0000-0000-00008F1D0000}"/>
    <cellStyle name="Normal 8 3 3 2 5 2 2" xfId="8666" xr:uid="{00000000-0005-0000-0000-0000901D0000}"/>
    <cellStyle name="Normal 8 3 3 2 5 2 2 2" xfId="17095" xr:uid="{77477EC8-2908-4613-B61E-ED24C349AC29}"/>
    <cellStyle name="Normal 8 3 3 2 5 2 3" xfId="12877" xr:uid="{25EE21E0-FF83-456C-8E0A-32FECA588C51}"/>
    <cellStyle name="Normal 8 3 3 2 5 3" xfId="6521" xr:uid="{00000000-0005-0000-0000-0000911D0000}"/>
    <cellStyle name="Normal 8 3 3 2 5 3 2" xfId="14950" xr:uid="{A1C3EB3B-BD8E-4012-92CF-6590A39D3B01}"/>
    <cellStyle name="Normal 8 3 3 2 5 4" xfId="10732" xr:uid="{CB70E2EA-BF47-4C6F-B008-100E544EB4C6}"/>
    <cellStyle name="Normal 8 3 3 2 6" xfId="2649" xr:uid="{00000000-0005-0000-0000-0000921D0000}"/>
    <cellStyle name="Normal 8 3 3 2 6 2" xfId="6934" xr:uid="{00000000-0005-0000-0000-0000931D0000}"/>
    <cellStyle name="Normal 8 3 3 2 6 2 2" xfId="15363" xr:uid="{CBA5A219-A028-4D49-8BFF-E0D4B2D8C069}"/>
    <cellStyle name="Normal 8 3 3 2 6 3" xfId="11145" xr:uid="{0C8A9A1C-4A26-4C23-8C8B-526AD8981A4D}"/>
    <cellStyle name="Normal 8 3 3 2 7" xfId="4869" xr:uid="{00000000-0005-0000-0000-0000941D0000}"/>
    <cellStyle name="Normal 8 3 3 2 7 2" xfId="13298" xr:uid="{6B510D89-364D-4A0F-9A9D-70EE1E353792}"/>
    <cellStyle name="Normal 8 3 3 2 8" xfId="9080" xr:uid="{38368132-B232-4988-B8C6-D70DDFB2E8C7}"/>
    <cellStyle name="Normal 8 3 3 3" xfId="968" xr:uid="{00000000-0005-0000-0000-0000951D0000}"/>
    <cellStyle name="Normal 8 3 3 3 2" xfId="3202" xr:uid="{00000000-0005-0000-0000-0000961D0000}"/>
    <cellStyle name="Normal 8 3 3 3 2 2" xfId="7426" xr:uid="{00000000-0005-0000-0000-0000971D0000}"/>
    <cellStyle name="Normal 8 3 3 3 2 2 2" xfId="15855" xr:uid="{451003D9-058D-4CF9-9346-A410D3D2B2F3}"/>
    <cellStyle name="Normal 8 3 3 3 2 3" xfId="11637" xr:uid="{6DB92513-CCFA-4A4E-9CFD-95F79102717F}"/>
    <cellStyle name="Normal 8 3 3 3 3" xfId="5281" xr:uid="{00000000-0005-0000-0000-0000981D0000}"/>
    <cellStyle name="Normal 8 3 3 3 3 2" xfId="13710" xr:uid="{6B4349D8-0A0A-42BF-B15F-C50E90D77BE0}"/>
    <cellStyle name="Normal 8 3 3 3 4" xfId="9492" xr:uid="{7BF216F9-93B4-4E7A-9A0E-1F8CE882C6D2}"/>
    <cellStyle name="Normal 8 3 3 4" xfId="1385" xr:uid="{00000000-0005-0000-0000-0000991D0000}"/>
    <cellStyle name="Normal 8 3 3 4 2" xfId="3615" xr:uid="{00000000-0005-0000-0000-00009A1D0000}"/>
    <cellStyle name="Normal 8 3 3 4 2 2" xfId="7839" xr:uid="{00000000-0005-0000-0000-00009B1D0000}"/>
    <cellStyle name="Normal 8 3 3 4 2 2 2" xfId="16268" xr:uid="{94C75FFC-7AAC-4B0F-B488-24CF13EE277E}"/>
    <cellStyle name="Normal 8 3 3 4 2 3" xfId="12050" xr:uid="{1C4FA843-C0E3-4AB3-8DED-367F1A90F6C1}"/>
    <cellStyle name="Normal 8 3 3 4 3" xfId="5694" xr:uid="{00000000-0005-0000-0000-00009C1D0000}"/>
    <cellStyle name="Normal 8 3 3 4 3 2" xfId="14123" xr:uid="{B5A8E274-573A-46C3-AADF-E99AD7A4FD15}"/>
    <cellStyle name="Normal 8 3 3 4 4" xfId="9905" xr:uid="{C49E2BA5-FD9A-4F7E-A16D-F28EF7A45B40}"/>
    <cellStyle name="Normal 8 3 3 5" xfId="1798" xr:uid="{00000000-0005-0000-0000-00009D1D0000}"/>
    <cellStyle name="Normal 8 3 3 5 2" xfId="4028" xr:uid="{00000000-0005-0000-0000-00009E1D0000}"/>
    <cellStyle name="Normal 8 3 3 5 2 2" xfId="8252" xr:uid="{00000000-0005-0000-0000-00009F1D0000}"/>
    <cellStyle name="Normal 8 3 3 5 2 2 2" xfId="16681" xr:uid="{4CA69EEF-D322-47AE-AFDC-8DC795147AB4}"/>
    <cellStyle name="Normal 8 3 3 5 2 3" xfId="12463" xr:uid="{E71A5F90-065F-4206-B947-7163BE4FC4C0}"/>
    <cellStyle name="Normal 8 3 3 5 3" xfId="6107" xr:uid="{00000000-0005-0000-0000-0000A01D0000}"/>
    <cellStyle name="Normal 8 3 3 5 3 2" xfId="14536" xr:uid="{6171B087-3B0C-4BFB-B063-823BE60554CB}"/>
    <cellStyle name="Normal 8 3 3 5 4" xfId="10318" xr:uid="{F1EFBD9C-3A3E-401D-8D86-A1AED968BD9B}"/>
    <cellStyle name="Normal 8 3 3 6" xfId="2212" xr:uid="{00000000-0005-0000-0000-0000A11D0000}"/>
    <cellStyle name="Normal 8 3 3 6 2" xfId="4441" xr:uid="{00000000-0005-0000-0000-0000A21D0000}"/>
    <cellStyle name="Normal 8 3 3 6 2 2" xfId="8665" xr:uid="{00000000-0005-0000-0000-0000A31D0000}"/>
    <cellStyle name="Normal 8 3 3 6 2 2 2" xfId="17094" xr:uid="{87206441-1ACA-4205-9757-66B12484894A}"/>
    <cellStyle name="Normal 8 3 3 6 2 3" xfId="12876" xr:uid="{4B3ACE14-4AA8-40A6-96CE-BCCF5DB4A7CF}"/>
    <cellStyle name="Normal 8 3 3 6 3" xfId="6520" xr:uid="{00000000-0005-0000-0000-0000A41D0000}"/>
    <cellStyle name="Normal 8 3 3 6 3 2" xfId="14949" xr:uid="{CEECE989-4B84-4221-8BD1-C882CC6030DB}"/>
    <cellStyle name="Normal 8 3 3 6 4" xfId="10731" xr:uid="{98411B9B-AE79-4BCD-BCFA-53195E1F4AE8}"/>
    <cellStyle name="Normal 8 3 3 7" xfId="2648" xr:uid="{00000000-0005-0000-0000-0000A51D0000}"/>
    <cellStyle name="Normal 8 3 3 7 2" xfId="6933" xr:uid="{00000000-0005-0000-0000-0000A61D0000}"/>
    <cellStyle name="Normal 8 3 3 7 2 2" xfId="15362" xr:uid="{3BA75910-589C-4967-818F-EB1B8BA8864E}"/>
    <cellStyle name="Normal 8 3 3 7 3" xfId="11144" xr:uid="{372AFCE2-C772-43AB-B856-F8132BE61515}"/>
    <cellStyle name="Normal 8 3 3 8" xfId="4868" xr:uid="{00000000-0005-0000-0000-0000A71D0000}"/>
    <cellStyle name="Normal 8 3 3 8 2" xfId="13297" xr:uid="{01C691F6-8EDB-4EE6-AEDD-33FFF75B47F5}"/>
    <cellStyle name="Normal 8 3 3 9" xfId="9079" xr:uid="{3668D15A-7C16-4E3C-B0FC-03253B93094B}"/>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2 2" xfId="15857" xr:uid="{9A6D9EE9-46F3-40A6-BFB8-A15A894D7B14}"/>
    <cellStyle name="Normal 8 3 4 2 2 3" xfId="11639" xr:uid="{EA1086A9-5154-4BA4-8438-FEFCB76B42C3}"/>
    <cellStyle name="Normal 8 3 4 2 3" xfId="5283" xr:uid="{00000000-0005-0000-0000-0000AC1D0000}"/>
    <cellStyle name="Normal 8 3 4 2 3 2" xfId="13712" xr:uid="{A1C886AF-CE82-4F92-9FF1-AFC12832A0A1}"/>
    <cellStyle name="Normal 8 3 4 2 4" xfId="9494" xr:uid="{A0B52411-1D41-409D-9E64-F4302EC91D85}"/>
    <cellStyle name="Normal 8 3 4 3" xfId="1387" xr:uid="{00000000-0005-0000-0000-0000AD1D0000}"/>
    <cellStyle name="Normal 8 3 4 3 2" xfId="3617" xr:uid="{00000000-0005-0000-0000-0000AE1D0000}"/>
    <cellStyle name="Normal 8 3 4 3 2 2" xfId="7841" xr:uid="{00000000-0005-0000-0000-0000AF1D0000}"/>
    <cellStyle name="Normal 8 3 4 3 2 2 2" xfId="16270" xr:uid="{78A46F9E-5C42-4E24-BEC0-6FB9938CA756}"/>
    <cellStyle name="Normal 8 3 4 3 2 3" xfId="12052" xr:uid="{684EC0A4-B1F5-49DD-A967-02E342A57CE6}"/>
    <cellStyle name="Normal 8 3 4 3 3" xfId="5696" xr:uid="{00000000-0005-0000-0000-0000B01D0000}"/>
    <cellStyle name="Normal 8 3 4 3 3 2" xfId="14125" xr:uid="{BF908729-08B2-4521-A882-D0367AB19768}"/>
    <cellStyle name="Normal 8 3 4 3 4" xfId="9907" xr:uid="{7169A42D-BAC9-4496-9223-42101C9BE0ED}"/>
    <cellStyle name="Normal 8 3 4 4" xfId="1800" xr:uid="{00000000-0005-0000-0000-0000B11D0000}"/>
    <cellStyle name="Normal 8 3 4 4 2" xfId="4030" xr:uid="{00000000-0005-0000-0000-0000B21D0000}"/>
    <cellStyle name="Normal 8 3 4 4 2 2" xfId="8254" xr:uid="{00000000-0005-0000-0000-0000B31D0000}"/>
    <cellStyle name="Normal 8 3 4 4 2 2 2" xfId="16683" xr:uid="{4500D2EB-528B-438F-AEA3-3F8EB6608841}"/>
    <cellStyle name="Normal 8 3 4 4 2 3" xfId="12465" xr:uid="{3A75A3F9-8BEB-4B1E-8865-CB011554CA7D}"/>
    <cellStyle name="Normal 8 3 4 4 3" xfId="6109" xr:uid="{00000000-0005-0000-0000-0000B41D0000}"/>
    <cellStyle name="Normal 8 3 4 4 3 2" xfId="14538" xr:uid="{82281D5E-F406-42CC-9DFB-E067A731D284}"/>
    <cellStyle name="Normal 8 3 4 4 4" xfId="10320" xr:uid="{7C4F040B-0188-4145-8076-01A91AFA87A3}"/>
    <cellStyle name="Normal 8 3 4 5" xfId="2214" xr:uid="{00000000-0005-0000-0000-0000B51D0000}"/>
    <cellStyle name="Normal 8 3 4 5 2" xfId="4443" xr:uid="{00000000-0005-0000-0000-0000B61D0000}"/>
    <cellStyle name="Normal 8 3 4 5 2 2" xfId="8667" xr:uid="{00000000-0005-0000-0000-0000B71D0000}"/>
    <cellStyle name="Normal 8 3 4 5 2 2 2" xfId="17096" xr:uid="{D0797FA1-0A85-4473-BA25-6EFC9A4A1E34}"/>
    <cellStyle name="Normal 8 3 4 5 2 3" xfId="12878" xr:uid="{D531397C-523B-47E1-9B85-C7454B0CD34D}"/>
    <cellStyle name="Normal 8 3 4 5 3" xfId="6522" xr:uid="{00000000-0005-0000-0000-0000B81D0000}"/>
    <cellStyle name="Normal 8 3 4 5 3 2" xfId="14951" xr:uid="{56CB5C05-4818-4016-B15F-81E7C0E96730}"/>
    <cellStyle name="Normal 8 3 4 5 4" xfId="10733" xr:uid="{FBC88986-8E03-4BE7-90D3-3AF476B509F0}"/>
    <cellStyle name="Normal 8 3 4 6" xfId="2650" xr:uid="{00000000-0005-0000-0000-0000B91D0000}"/>
    <cellStyle name="Normal 8 3 4 6 2" xfId="6935" xr:uid="{00000000-0005-0000-0000-0000BA1D0000}"/>
    <cellStyle name="Normal 8 3 4 6 2 2" xfId="15364" xr:uid="{71DC1719-F2A0-4A03-AFF8-C0DB5F5677C6}"/>
    <cellStyle name="Normal 8 3 4 6 3" xfId="11146" xr:uid="{04B89C2E-F9C4-4E00-ABA1-978EA1D556BD}"/>
    <cellStyle name="Normal 8 3 4 7" xfId="4870" xr:uid="{00000000-0005-0000-0000-0000BB1D0000}"/>
    <cellStyle name="Normal 8 3 4 7 2" xfId="13299" xr:uid="{313EC222-9FAA-432D-B108-9C94048A3A6E}"/>
    <cellStyle name="Normal 8 3 4 8" xfId="9081" xr:uid="{6E5ABEC0-76B1-46A2-B10A-EF026629A517}"/>
    <cellStyle name="Normal 8 3 5" xfId="963" xr:uid="{00000000-0005-0000-0000-0000BC1D0000}"/>
    <cellStyle name="Normal 8 3 5 2" xfId="3197" xr:uid="{00000000-0005-0000-0000-0000BD1D0000}"/>
    <cellStyle name="Normal 8 3 5 2 2" xfId="7421" xr:uid="{00000000-0005-0000-0000-0000BE1D0000}"/>
    <cellStyle name="Normal 8 3 5 2 2 2" xfId="15850" xr:uid="{3A471F6B-3565-4648-84F8-82FEE111D3D5}"/>
    <cellStyle name="Normal 8 3 5 2 3" xfId="11632" xr:uid="{589979E5-4DCB-47FF-ABE2-E7C3AD08795B}"/>
    <cellStyle name="Normal 8 3 5 3" xfId="5276" xr:uid="{00000000-0005-0000-0000-0000BF1D0000}"/>
    <cellStyle name="Normal 8 3 5 3 2" xfId="13705" xr:uid="{DB9F3224-8A7A-4EEF-82B4-58E72899AE8A}"/>
    <cellStyle name="Normal 8 3 5 4" xfId="9487" xr:uid="{E9767B59-006D-476E-90A8-415933426BAE}"/>
    <cellStyle name="Normal 8 3 6" xfId="1380" xr:uid="{00000000-0005-0000-0000-0000C01D0000}"/>
    <cellStyle name="Normal 8 3 6 2" xfId="3610" xr:uid="{00000000-0005-0000-0000-0000C11D0000}"/>
    <cellStyle name="Normal 8 3 6 2 2" xfId="7834" xr:uid="{00000000-0005-0000-0000-0000C21D0000}"/>
    <cellStyle name="Normal 8 3 6 2 2 2" xfId="16263" xr:uid="{EF12401F-B36B-4466-8F96-C5A81A4BF2C9}"/>
    <cellStyle name="Normal 8 3 6 2 3" xfId="12045" xr:uid="{A7E15592-CEA2-46F2-927C-A78550F837B7}"/>
    <cellStyle name="Normal 8 3 6 3" xfId="5689" xr:uid="{00000000-0005-0000-0000-0000C31D0000}"/>
    <cellStyle name="Normal 8 3 6 3 2" xfId="14118" xr:uid="{C12B2295-68B8-4948-BD70-E71DC89872BB}"/>
    <cellStyle name="Normal 8 3 6 4" xfId="9900" xr:uid="{A6317160-F6F6-40C0-B79E-EC2291D11531}"/>
    <cellStyle name="Normal 8 3 7" xfId="1793" xr:uid="{00000000-0005-0000-0000-0000C41D0000}"/>
    <cellStyle name="Normal 8 3 7 2" xfId="4023" xr:uid="{00000000-0005-0000-0000-0000C51D0000}"/>
    <cellStyle name="Normal 8 3 7 2 2" xfId="8247" xr:uid="{00000000-0005-0000-0000-0000C61D0000}"/>
    <cellStyle name="Normal 8 3 7 2 2 2" xfId="16676" xr:uid="{64B1E407-D18C-4767-9991-3AADEF119111}"/>
    <cellStyle name="Normal 8 3 7 2 3" xfId="12458" xr:uid="{6FF61F62-390C-4644-B88F-E655A3C19560}"/>
    <cellStyle name="Normal 8 3 7 3" xfId="6102" xr:uid="{00000000-0005-0000-0000-0000C71D0000}"/>
    <cellStyle name="Normal 8 3 7 3 2" xfId="14531" xr:uid="{969C457B-1342-4E42-BC01-E73EE84C66BD}"/>
    <cellStyle name="Normal 8 3 7 4" xfId="10313" xr:uid="{82A55E1E-1127-4740-B343-D6CAFFA73CEF}"/>
    <cellStyle name="Normal 8 3 8" xfId="2207" xr:uid="{00000000-0005-0000-0000-0000C81D0000}"/>
    <cellStyle name="Normal 8 3 8 2" xfId="4436" xr:uid="{00000000-0005-0000-0000-0000C91D0000}"/>
    <cellStyle name="Normal 8 3 8 2 2" xfId="8660" xr:uid="{00000000-0005-0000-0000-0000CA1D0000}"/>
    <cellStyle name="Normal 8 3 8 2 2 2" xfId="17089" xr:uid="{5C542332-6A3A-4225-A3DE-7EEBE5C3617B}"/>
    <cellStyle name="Normal 8 3 8 2 3" xfId="12871" xr:uid="{CDEF51DE-34D2-4B4A-8B54-0F4027F583A2}"/>
    <cellStyle name="Normal 8 3 8 3" xfId="6515" xr:uid="{00000000-0005-0000-0000-0000CB1D0000}"/>
    <cellStyle name="Normal 8 3 8 3 2" xfId="14944" xr:uid="{B8BAAD0F-E68A-4AF7-821C-FFDC3B39D63F}"/>
    <cellStyle name="Normal 8 3 8 4" xfId="10726" xr:uid="{88BF9E3B-3B19-4FA2-AAEB-256A01C08A30}"/>
    <cellStyle name="Normal 8 3 9" xfId="2643" xr:uid="{00000000-0005-0000-0000-0000CC1D0000}"/>
    <cellStyle name="Normal 8 3 9 2" xfId="6928" xr:uid="{00000000-0005-0000-0000-0000CD1D0000}"/>
    <cellStyle name="Normal 8 3 9 2 2" xfId="15357" xr:uid="{81264541-8E2F-4EE4-9FCA-89745D651949}"/>
    <cellStyle name="Normal 8 3 9 3" xfId="11139" xr:uid="{C9FD8C67-99EE-4085-915F-191DE38CE973}"/>
    <cellStyle name="Normal 8 4" xfId="503" xr:uid="{00000000-0005-0000-0000-0000CE1D0000}"/>
    <cellStyle name="Normal 8 4 10" xfId="9082" xr:uid="{42E298DC-1FEF-4EBF-A515-8F734DF84B9D}"/>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2 2" xfId="15860" xr:uid="{4E5DE843-E952-496E-BD7B-2E696ECBF002}"/>
    <cellStyle name="Normal 8 4 2 2 2 2 3" xfId="11642" xr:uid="{2C3526AF-158F-49D3-8EA5-255F973BF89A}"/>
    <cellStyle name="Normal 8 4 2 2 2 3" xfId="5286" xr:uid="{00000000-0005-0000-0000-0000D41D0000}"/>
    <cellStyle name="Normal 8 4 2 2 2 3 2" xfId="13715" xr:uid="{44909A43-AEA9-439C-A613-4CF8CD6112FA}"/>
    <cellStyle name="Normal 8 4 2 2 2 4" xfId="9497" xr:uid="{9F173E57-CD59-4DE9-98A4-42CC64DD0B2F}"/>
    <cellStyle name="Normal 8 4 2 2 3" xfId="1390" xr:uid="{00000000-0005-0000-0000-0000D51D0000}"/>
    <cellStyle name="Normal 8 4 2 2 3 2" xfId="3620" xr:uid="{00000000-0005-0000-0000-0000D61D0000}"/>
    <cellStyle name="Normal 8 4 2 2 3 2 2" xfId="7844" xr:uid="{00000000-0005-0000-0000-0000D71D0000}"/>
    <cellStyle name="Normal 8 4 2 2 3 2 2 2" xfId="16273" xr:uid="{448DE2E7-2D3B-4BA7-BAED-7B164A92B105}"/>
    <cellStyle name="Normal 8 4 2 2 3 2 3" xfId="12055" xr:uid="{6C40E70D-12D2-45D0-BC20-880C3CAD920C}"/>
    <cellStyle name="Normal 8 4 2 2 3 3" xfId="5699" xr:uid="{00000000-0005-0000-0000-0000D81D0000}"/>
    <cellStyle name="Normal 8 4 2 2 3 3 2" xfId="14128" xr:uid="{6F665AFC-C3E9-4CEC-9A42-2312835604F5}"/>
    <cellStyle name="Normal 8 4 2 2 3 4" xfId="9910" xr:uid="{476A2C3B-32B2-43B1-8360-864DE5427973}"/>
    <cellStyle name="Normal 8 4 2 2 4" xfId="1803" xr:uid="{00000000-0005-0000-0000-0000D91D0000}"/>
    <cellStyle name="Normal 8 4 2 2 4 2" xfId="4033" xr:uid="{00000000-0005-0000-0000-0000DA1D0000}"/>
    <cellStyle name="Normal 8 4 2 2 4 2 2" xfId="8257" xr:uid="{00000000-0005-0000-0000-0000DB1D0000}"/>
    <cellStyle name="Normal 8 4 2 2 4 2 2 2" xfId="16686" xr:uid="{4985FB8E-CCB5-4137-BAEA-342EA97A0442}"/>
    <cellStyle name="Normal 8 4 2 2 4 2 3" xfId="12468" xr:uid="{601AC83E-0A5E-4119-955F-5D8B03EE6E11}"/>
    <cellStyle name="Normal 8 4 2 2 4 3" xfId="6112" xr:uid="{00000000-0005-0000-0000-0000DC1D0000}"/>
    <cellStyle name="Normal 8 4 2 2 4 3 2" xfId="14541" xr:uid="{32DC14BF-0275-4267-938D-2709CB9BA848}"/>
    <cellStyle name="Normal 8 4 2 2 4 4" xfId="10323" xr:uid="{06D2F7D1-B0BB-45B1-9470-58960E4E84F7}"/>
    <cellStyle name="Normal 8 4 2 2 5" xfId="2217" xr:uid="{00000000-0005-0000-0000-0000DD1D0000}"/>
    <cellStyle name="Normal 8 4 2 2 5 2" xfId="4446" xr:uid="{00000000-0005-0000-0000-0000DE1D0000}"/>
    <cellStyle name="Normal 8 4 2 2 5 2 2" xfId="8670" xr:uid="{00000000-0005-0000-0000-0000DF1D0000}"/>
    <cellStyle name="Normal 8 4 2 2 5 2 2 2" xfId="17099" xr:uid="{3FF52E2C-1026-4D88-8A97-12A213B88549}"/>
    <cellStyle name="Normal 8 4 2 2 5 2 3" xfId="12881" xr:uid="{45403FD7-1A48-4B92-B634-8D56D59B920A}"/>
    <cellStyle name="Normal 8 4 2 2 5 3" xfId="6525" xr:uid="{00000000-0005-0000-0000-0000E01D0000}"/>
    <cellStyle name="Normal 8 4 2 2 5 3 2" xfId="14954" xr:uid="{11EAD248-3D6F-4C48-8BCA-0E6AB2F8AAFB}"/>
    <cellStyle name="Normal 8 4 2 2 5 4" xfId="10736" xr:uid="{77AA06C7-9038-45E6-BCCB-647EE013B734}"/>
    <cellStyle name="Normal 8 4 2 2 6" xfId="2653" xr:uid="{00000000-0005-0000-0000-0000E11D0000}"/>
    <cellStyle name="Normal 8 4 2 2 6 2" xfId="6938" xr:uid="{00000000-0005-0000-0000-0000E21D0000}"/>
    <cellStyle name="Normal 8 4 2 2 6 2 2" xfId="15367" xr:uid="{E5741E41-BA0E-469D-A19F-B3F9ABBE78CC}"/>
    <cellStyle name="Normal 8 4 2 2 6 3" xfId="11149" xr:uid="{69379D28-38BC-441F-9620-A0187CF6575B}"/>
    <cellStyle name="Normal 8 4 2 2 7" xfId="4873" xr:uid="{00000000-0005-0000-0000-0000E31D0000}"/>
    <cellStyle name="Normal 8 4 2 2 7 2" xfId="13302" xr:uid="{4274728A-AB4D-4BE1-A76C-0172950265A0}"/>
    <cellStyle name="Normal 8 4 2 2 8" xfId="9084" xr:uid="{1C84E172-E2F9-48D7-8CCF-8EFD937196BB}"/>
    <cellStyle name="Normal 8 4 2 3" xfId="972" xr:uid="{00000000-0005-0000-0000-0000E41D0000}"/>
    <cellStyle name="Normal 8 4 2 3 2" xfId="3206" xr:uid="{00000000-0005-0000-0000-0000E51D0000}"/>
    <cellStyle name="Normal 8 4 2 3 2 2" xfId="7430" xr:uid="{00000000-0005-0000-0000-0000E61D0000}"/>
    <cellStyle name="Normal 8 4 2 3 2 2 2" xfId="15859" xr:uid="{33093736-16A0-44C3-920E-AEFEE3AF4210}"/>
    <cellStyle name="Normal 8 4 2 3 2 3" xfId="11641" xr:uid="{8E17BAE4-8B0D-4DA9-9812-EB087DED4612}"/>
    <cellStyle name="Normal 8 4 2 3 3" xfId="5285" xr:uid="{00000000-0005-0000-0000-0000E71D0000}"/>
    <cellStyle name="Normal 8 4 2 3 3 2" xfId="13714" xr:uid="{CC1F4466-2E6B-4A54-A979-B9EB55BEEDB3}"/>
    <cellStyle name="Normal 8 4 2 3 4" xfId="9496" xr:uid="{6DB399C9-BE20-4980-B4E2-EF8990D50598}"/>
    <cellStyle name="Normal 8 4 2 4" xfId="1389" xr:uid="{00000000-0005-0000-0000-0000E81D0000}"/>
    <cellStyle name="Normal 8 4 2 4 2" xfId="3619" xr:uid="{00000000-0005-0000-0000-0000E91D0000}"/>
    <cellStyle name="Normal 8 4 2 4 2 2" xfId="7843" xr:uid="{00000000-0005-0000-0000-0000EA1D0000}"/>
    <cellStyle name="Normal 8 4 2 4 2 2 2" xfId="16272" xr:uid="{39EADF96-44D5-4479-9A50-1EF7D20EAC7B}"/>
    <cellStyle name="Normal 8 4 2 4 2 3" xfId="12054" xr:uid="{5CADB2F0-B2E6-4E85-B7CA-C58EECACE5C1}"/>
    <cellStyle name="Normal 8 4 2 4 3" xfId="5698" xr:uid="{00000000-0005-0000-0000-0000EB1D0000}"/>
    <cellStyle name="Normal 8 4 2 4 3 2" xfId="14127" xr:uid="{AB7732F1-7484-490F-AE86-96DD2A80448E}"/>
    <cellStyle name="Normal 8 4 2 4 4" xfId="9909" xr:uid="{CB32DBC8-5141-4F17-84AB-FE92FA797F58}"/>
    <cellStyle name="Normal 8 4 2 5" xfId="1802" xr:uid="{00000000-0005-0000-0000-0000EC1D0000}"/>
    <cellStyle name="Normal 8 4 2 5 2" xfId="4032" xr:uid="{00000000-0005-0000-0000-0000ED1D0000}"/>
    <cellStyle name="Normal 8 4 2 5 2 2" xfId="8256" xr:uid="{00000000-0005-0000-0000-0000EE1D0000}"/>
    <cellStyle name="Normal 8 4 2 5 2 2 2" xfId="16685" xr:uid="{9BCC3A0F-1DEE-4881-A1F8-08D47581F149}"/>
    <cellStyle name="Normal 8 4 2 5 2 3" xfId="12467" xr:uid="{A170957F-D856-4551-8B1A-F36EE6F4B35B}"/>
    <cellStyle name="Normal 8 4 2 5 3" xfId="6111" xr:uid="{00000000-0005-0000-0000-0000EF1D0000}"/>
    <cellStyle name="Normal 8 4 2 5 3 2" xfId="14540" xr:uid="{03665F77-122F-46C7-B34F-21D2CE3A808F}"/>
    <cellStyle name="Normal 8 4 2 5 4" xfId="10322" xr:uid="{85D8FE8B-D927-41EA-87A3-BDE646548BDC}"/>
    <cellStyle name="Normal 8 4 2 6" xfId="2216" xr:uid="{00000000-0005-0000-0000-0000F01D0000}"/>
    <cellStyle name="Normal 8 4 2 6 2" xfId="4445" xr:uid="{00000000-0005-0000-0000-0000F11D0000}"/>
    <cellStyle name="Normal 8 4 2 6 2 2" xfId="8669" xr:uid="{00000000-0005-0000-0000-0000F21D0000}"/>
    <cellStyle name="Normal 8 4 2 6 2 2 2" xfId="17098" xr:uid="{679DDB1A-C481-4EEA-A341-263966EBE851}"/>
    <cellStyle name="Normal 8 4 2 6 2 3" xfId="12880" xr:uid="{4AB9DC5B-7345-4A7E-BE03-CCE0A4A259A1}"/>
    <cellStyle name="Normal 8 4 2 6 3" xfId="6524" xr:uid="{00000000-0005-0000-0000-0000F31D0000}"/>
    <cellStyle name="Normal 8 4 2 6 3 2" xfId="14953" xr:uid="{7C250BAA-E2D5-4095-B4B2-4AF226907356}"/>
    <cellStyle name="Normal 8 4 2 6 4" xfId="10735" xr:uid="{8AA9A826-2BCE-4079-876E-5D7D774D01E7}"/>
    <cellStyle name="Normal 8 4 2 7" xfId="2652" xr:uid="{00000000-0005-0000-0000-0000F41D0000}"/>
    <cellStyle name="Normal 8 4 2 7 2" xfId="6937" xr:uid="{00000000-0005-0000-0000-0000F51D0000}"/>
    <cellStyle name="Normal 8 4 2 7 2 2" xfId="15366" xr:uid="{3E8486F1-A062-41A7-949D-882646F6B35F}"/>
    <cellStyle name="Normal 8 4 2 7 3" xfId="11148" xr:uid="{1D185DB8-2B29-4AE3-91A7-3781571B72CE}"/>
    <cellStyle name="Normal 8 4 2 8" xfId="4872" xr:uid="{00000000-0005-0000-0000-0000F61D0000}"/>
    <cellStyle name="Normal 8 4 2 8 2" xfId="13301" xr:uid="{0FA75447-D400-4E05-86E0-BF501BBCDF65}"/>
    <cellStyle name="Normal 8 4 2 9" xfId="9083" xr:uid="{16AF9E12-0E49-4B46-B936-1C4B294CD51B}"/>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2 2" xfId="15861" xr:uid="{9C31F6DB-498D-42DB-9CE1-6585C4166F4B}"/>
    <cellStyle name="Normal 8 4 3 2 2 3" xfId="11643" xr:uid="{986B7871-E957-493E-85CD-0917FA57BC38}"/>
    <cellStyle name="Normal 8 4 3 2 3" xfId="5287" xr:uid="{00000000-0005-0000-0000-0000FB1D0000}"/>
    <cellStyle name="Normal 8 4 3 2 3 2" xfId="13716" xr:uid="{BC367D19-241F-4164-A448-A129854EF4F2}"/>
    <cellStyle name="Normal 8 4 3 2 4" xfId="9498" xr:uid="{01A3978F-F48E-4EAE-BF80-46C9F2ED949E}"/>
    <cellStyle name="Normal 8 4 3 3" xfId="1391" xr:uid="{00000000-0005-0000-0000-0000FC1D0000}"/>
    <cellStyle name="Normal 8 4 3 3 2" xfId="3621" xr:uid="{00000000-0005-0000-0000-0000FD1D0000}"/>
    <cellStyle name="Normal 8 4 3 3 2 2" xfId="7845" xr:uid="{00000000-0005-0000-0000-0000FE1D0000}"/>
    <cellStyle name="Normal 8 4 3 3 2 2 2" xfId="16274" xr:uid="{59260AEF-8D79-490A-8EC8-015BEE1E5B93}"/>
    <cellStyle name="Normal 8 4 3 3 2 3" xfId="12056" xr:uid="{C585F5DE-6789-4BFE-9C45-5D5ADD17D76B}"/>
    <cellStyle name="Normal 8 4 3 3 3" xfId="5700" xr:uid="{00000000-0005-0000-0000-0000FF1D0000}"/>
    <cellStyle name="Normal 8 4 3 3 3 2" xfId="14129" xr:uid="{D88E34FA-B2D2-4572-945B-B3E2179D59E2}"/>
    <cellStyle name="Normal 8 4 3 3 4" xfId="9911" xr:uid="{C93B5C0C-E2CB-4A45-90B4-F82A67EFE501}"/>
    <cellStyle name="Normal 8 4 3 4" xfId="1804" xr:uid="{00000000-0005-0000-0000-0000001E0000}"/>
    <cellStyle name="Normal 8 4 3 4 2" xfId="4034" xr:uid="{00000000-0005-0000-0000-0000011E0000}"/>
    <cellStyle name="Normal 8 4 3 4 2 2" xfId="8258" xr:uid="{00000000-0005-0000-0000-0000021E0000}"/>
    <cellStyle name="Normal 8 4 3 4 2 2 2" xfId="16687" xr:uid="{6C208694-02FC-4A4E-8707-D2638CF3AC4C}"/>
    <cellStyle name="Normal 8 4 3 4 2 3" xfId="12469" xr:uid="{24CD8BDE-488A-42D6-9607-7BE9A4EC56FB}"/>
    <cellStyle name="Normal 8 4 3 4 3" xfId="6113" xr:uid="{00000000-0005-0000-0000-0000031E0000}"/>
    <cellStyle name="Normal 8 4 3 4 3 2" xfId="14542" xr:uid="{8460917A-A6E3-4E12-9EEF-9B174B2CB348}"/>
    <cellStyle name="Normal 8 4 3 4 4" xfId="10324" xr:uid="{6611CB96-DE6E-483A-AD38-B71C68ED83AB}"/>
    <cellStyle name="Normal 8 4 3 5" xfId="2218" xr:uid="{00000000-0005-0000-0000-0000041E0000}"/>
    <cellStyle name="Normal 8 4 3 5 2" xfId="4447" xr:uid="{00000000-0005-0000-0000-0000051E0000}"/>
    <cellStyle name="Normal 8 4 3 5 2 2" xfId="8671" xr:uid="{00000000-0005-0000-0000-0000061E0000}"/>
    <cellStyle name="Normal 8 4 3 5 2 2 2" xfId="17100" xr:uid="{FE2BD390-FB51-48B1-A046-CF71B4F2B597}"/>
    <cellStyle name="Normal 8 4 3 5 2 3" xfId="12882" xr:uid="{C223E034-6A0E-4C81-B345-790490E7C0D8}"/>
    <cellStyle name="Normal 8 4 3 5 3" xfId="6526" xr:uid="{00000000-0005-0000-0000-0000071E0000}"/>
    <cellStyle name="Normal 8 4 3 5 3 2" xfId="14955" xr:uid="{161EB7C8-2EB1-4367-A385-A1896607C537}"/>
    <cellStyle name="Normal 8 4 3 5 4" xfId="10737" xr:uid="{14EBB45A-E87D-4AEC-BB86-BFBECBBC2E33}"/>
    <cellStyle name="Normal 8 4 3 6" xfId="2654" xr:uid="{00000000-0005-0000-0000-0000081E0000}"/>
    <cellStyle name="Normal 8 4 3 6 2" xfId="6939" xr:uid="{00000000-0005-0000-0000-0000091E0000}"/>
    <cellStyle name="Normal 8 4 3 6 2 2" xfId="15368" xr:uid="{4FB221B3-E162-46FF-B1C1-69A22CB3D8E0}"/>
    <cellStyle name="Normal 8 4 3 6 3" xfId="11150" xr:uid="{29735AF2-2CF9-4C26-B51C-AB3CD6FB0AD3}"/>
    <cellStyle name="Normal 8 4 3 7" xfId="4874" xr:uid="{00000000-0005-0000-0000-00000A1E0000}"/>
    <cellStyle name="Normal 8 4 3 7 2" xfId="13303" xr:uid="{36767379-F693-41ED-A94B-EA9781429BD0}"/>
    <cellStyle name="Normal 8 4 3 8" xfId="9085" xr:uid="{08EF0A99-8DE8-4494-B83E-8C7812077372}"/>
    <cellStyle name="Normal 8 4 4" xfId="971" xr:uid="{00000000-0005-0000-0000-00000B1E0000}"/>
    <cellStyle name="Normal 8 4 4 2" xfId="3205" xr:uid="{00000000-0005-0000-0000-00000C1E0000}"/>
    <cellStyle name="Normal 8 4 4 2 2" xfId="7429" xr:uid="{00000000-0005-0000-0000-00000D1E0000}"/>
    <cellStyle name="Normal 8 4 4 2 2 2" xfId="15858" xr:uid="{3F34DFF5-B295-4A9B-82C4-3AFE3403B7DF}"/>
    <cellStyle name="Normal 8 4 4 2 3" xfId="11640" xr:uid="{4D71CCF3-B693-41EA-9D60-FC7FA2BCE206}"/>
    <cellStyle name="Normal 8 4 4 3" xfId="5284" xr:uid="{00000000-0005-0000-0000-00000E1E0000}"/>
    <cellStyle name="Normal 8 4 4 3 2" xfId="13713" xr:uid="{A7E739BC-CBF6-42F3-8932-DC347E2A9A9F}"/>
    <cellStyle name="Normal 8 4 4 4" xfId="9495" xr:uid="{381BC4AE-B638-4F34-97BA-C08C88B2A90B}"/>
    <cellStyle name="Normal 8 4 5" xfId="1388" xr:uid="{00000000-0005-0000-0000-00000F1E0000}"/>
    <cellStyle name="Normal 8 4 5 2" xfId="3618" xr:uid="{00000000-0005-0000-0000-0000101E0000}"/>
    <cellStyle name="Normal 8 4 5 2 2" xfId="7842" xr:uid="{00000000-0005-0000-0000-0000111E0000}"/>
    <cellStyle name="Normal 8 4 5 2 2 2" xfId="16271" xr:uid="{AF7F2083-5508-425D-A518-98FF6E5E292D}"/>
    <cellStyle name="Normal 8 4 5 2 3" xfId="12053" xr:uid="{214C0CA7-31F0-4733-9968-C929B48B1A0A}"/>
    <cellStyle name="Normal 8 4 5 3" xfId="5697" xr:uid="{00000000-0005-0000-0000-0000121E0000}"/>
    <cellStyle name="Normal 8 4 5 3 2" xfId="14126" xr:uid="{22680629-7DB2-418E-83A7-B0B3D292631E}"/>
    <cellStyle name="Normal 8 4 5 4" xfId="9908" xr:uid="{EED2074C-4A12-47FE-8076-FB8C698B1DF7}"/>
    <cellStyle name="Normal 8 4 6" xfId="1801" xr:uid="{00000000-0005-0000-0000-0000131E0000}"/>
    <cellStyle name="Normal 8 4 6 2" xfId="4031" xr:uid="{00000000-0005-0000-0000-0000141E0000}"/>
    <cellStyle name="Normal 8 4 6 2 2" xfId="8255" xr:uid="{00000000-0005-0000-0000-0000151E0000}"/>
    <cellStyle name="Normal 8 4 6 2 2 2" xfId="16684" xr:uid="{4F8C0DC8-3385-4EBF-8303-CCEC0B8F82BA}"/>
    <cellStyle name="Normal 8 4 6 2 3" xfId="12466" xr:uid="{234F0D13-13BA-4C00-B919-985D4A6156A8}"/>
    <cellStyle name="Normal 8 4 6 3" xfId="6110" xr:uid="{00000000-0005-0000-0000-0000161E0000}"/>
    <cellStyle name="Normal 8 4 6 3 2" xfId="14539" xr:uid="{6DE5A88A-7255-456F-94C2-110E3A97A01E}"/>
    <cellStyle name="Normal 8 4 6 4" xfId="10321" xr:uid="{605941CB-DD7A-4D5C-AB58-883DEE093E29}"/>
    <cellStyle name="Normal 8 4 7" xfId="2215" xr:uid="{00000000-0005-0000-0000-0000171E0000}"/>
    <cellStyle name="Normal 8 4 7 2" xfId="4444" xr:uid="{00000000-0005-0000-0000-0000181E0000}"/>
    <cellStyle name="Normal 8 4 7 2 2" xfId="8668" xr:uid="{00000000-0005-0000-0000-0000191E0000}"/>
    <cellStyle name="Normal 8 4 7 2 2 2" xfId="17097" xr:uid="{DC4EDC99-EEB3-4134-9B8A-94A29BD47169}"/>
    <cellStyle name="Normal 8 4 7 2 3" xfId="12879" xr:uid="{2200C96E-427D-4ABE-83C6-C1B8F76B2FDF}"/>
    <cellStyle name="Normal 8 4 7 3" xfId="6523" xr:uid="{00000000-0005-0000-0000-00001A1E0000}"/>
    <cellStyle name="Normal 8 4 7 3 2" xfId="14952" xr:uid="{D6835DDB-99CE-4F95-8F5D-1E99F076E1CE}"/>
    <cellStyle name="Normal 8 4 7 4" xfId="10734" xr:uid="{B6CCDDEA-CB39-4F51-BC4B-535E6BAA3D7C}"/>
    <cellStyle name="Normal 8 4 8" xfId="2651" xr:uid="{00000000-0005-0000-0000-00001B1E0000}"/>
    <cellStyle name="Normal 8 4 8 2" xfId="6936" xr:uid="{00000000-0005-0000-0000-00001C1E0000}"/>
    <cellStyle name="Normal 8 4 8 2 2" xfId="15365" xr:uid="{B7136E13-9743-4EB8-9770-6C676AA1EFC1}"/>
    <cellStyle name="Normal 8 4 8 3" xfId="11147" xr:uid="{2A48A7BE-A22C-424F-851D-8362C3E10C01}"/>
    <cellStyle name="Normal 8 4 9" xfId="4871" xr:uid="{00000000-0005-0000-0000-00001D1E0000}"/>
    <cellStyle name="Normal 8 4 9 2" xfId="13300" xr:uid="{638B7F9A-2F44-4C87-8447-E33282CC66EB}"/>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2 2" xfId="15863" xr:uid="{DA9CC347-4066-46B9-9327-DF0DD3078F1C}"/>
    <cellStyle name="Normal 8 5 2 2 2 3" xfId="11645" xr:uid="{8114C09D-79E1-4E32-A510-E11F5E396DC2}"/>
    <cellStyle name="Normal 8 5 2 2 3" xfId="5289" xr:uid="{00000000-0005-0000-0000-0000231E0000}"/>
    <cellStyle name="Normal 8 5 2 2 3 2" xfId="13718" xr:uid="{758B8DFC-EDC0-4203-9EA7-DCBE02AEF2EE}"/>
    <cellStyle name="Normal 8 5 2 2 4" xfId="9500" xr:uid="{2117FE8A-5147-4D90-85A3-4A7A59DB0FA2}"/>
    <cellStyle name="Normal 8 5 2 3" xfId="1393" xr:uid="{00000000-0005-0000-0000-0000241E0000}"/>
    <cellStyle name="Normal 8 5 2 3 2" xfId="3623" xr:uid="{00000000-0005-0000-0000-0000251E0000}"/>
    <cellStyle name="Normal 8 5 2 3 2 2" xfId="7847" xr:uid="{00000000-0005-0000-0000-0000261E0000}"/>
    <cellStyle name="Normal 8 5 2 3 2 2 2" xfId="16276" xr:uid="{4425D5B8-6F8C-42DB-803B-032264771493}"/>
    <cellStyle name="Normal 8 5 2 3 2 3" xfId="12058" xr:uid="{8A0D085A-A74E-41FA-A84E-88258DB7600D}"/>
    <cellStyle name="Normal 8 5 2 3 3" xfId="5702" xr:uid="{00000000-0005-0000-0000-0000271E0000}"/>
    <cellStyle name="Normal 8 5 2 3 3 2" xfId="14131" xr:uid="{BEDBB8B0-4A81-481D-911C-BFC67CA00948}"/>
    <cellStyle name="Normal 8 5 2 3 4" xfId="9913" xr:uid="{C38BDD97-0B33-4861-AE37-433AC467566E}"/>
    <cellStyle name="Normal 8 5 2 4" xfId="1806" xr:uid="{00000000-0005-0000-0000-0000281E0000}"/>
    <cellStyle name="Normal 8 5 2 4 2" xfId="4036" xr:uid="{00000000-0005-0000-0000-0000291E0000}"/>
    <cellStyle name="Normal 8 5 2 4 2 2" xfId="8260" xr:uid="{00000000-0005-0000-0000-00002A1E0000}"/>
    <cellStyle name="Normal 8 5 2 4 2 2 2" xfId="16689" xr:uid="{FC2C896E-212E-4E77-AD09-6344E90425C4}"/>
    <cellStyle name="Normal 8 5 2 4 2 3" xfId="12471" xr:uid="{ACCC00A6-6CCE-48A2-B4E9-D2705F3FC8FB}"/>
    <cellStyle name="Normal 8 5 2 4 3" xfId="6115" xr:uid="{00000000-0005-0000-0000-00002B1E0000}"/>
    <cellStyle name="Normal 8 5 2 4 3 2" xfId="14544" xr:uid="{FCF7646F-DB7F-4FBE-BE1B-270E779E3666}"/>
    <cellStyle name="Normal 8 5 2 4 4" xfId="10326" xr:uid="{2D5EE1FA-2733-4B9D-8DFF-BAF087BDFD03}"/>
    <cellStyle name="Normal 8 5 2 5" xfId="2220" xr:uid="{00000000-0005-0000-0000-00002C1E0000}"/>
    <cellStyle name="Normal 8 5 2 5 2" xfId="4449" xr:uid="{00000000-0005-0000-0000-00002D1E0000}"/>
    <cellStyle name="Normal 8 5 2 5 2 2" xfId="8673" xr:uid="{00000000-0005-0000-0000-00002E1E0000}"/>
    <cellStyle name="Normal 8 5 2 5 2 2 2" xfId="17102" xr:uid="{62DB1841-1253-467D-936C-6BC1A78E2AF5}"/>
    <cellStyle name="Normal 8 5 2 5 2 3" xfId="12884" xr:uid="{A7E2EBD2-2423-4D35-A635-029902720B7D}"/>
    <cellStyle name="Normal 8 5 2 5 3" xfId="6528" xr:uid="{00000000-0005-0000-0000-00002F1E0000}"/>
    <cellStyle name="Normal 8 5 2 5 3 2" xfId="14957" xr:uid="{D403CEBF-6DA1-4D4F-BD77-7CD92FF0975F}"/>
    <cellStyle name="Normal 8 5 2 5 4" xfId="10739" xr:uid="{B9BC86D6-E485-47E4-BEEB-D4F8A5B44E26}"/>
    <cellStyle name="Normal 8 5 2 6" xfId="2656" xr:uid="{00000000-0005-0000-0000-0000301E0000}"/>
    <cellStyle name="Normal 8 5 2 6 2" xfId="6941" xr:uid="{00000000-0005-0000-0000-0000311E0000}"/>
    <cellStyle name="Normal 8 5 2 6 2 2" xfId="15370" xr:uid="{0AC4C68B-E1EC-4F49-A2BD-3A521B3DA49C}"/>
    <cellStyle name="Normal 8 5 2 6 3" xfId="11152" xr:uid="{194D912B-FF03-4B64-A80A-5546C593EBD6}"/>
    <cellStyle name="Normal 8 5 2 7" xfId="4876" xr:uid="{00000000-0005-0000-0000-0000321E0000}"/>
    <cellStyle name="Normal 8 5 2 7 2" xfId="13305" xr:uid="{BF612DF9-AC48-4BA5-9555-ADEF9157A03F}"/>
    <cellStyle name="Normal 8 5 2 8" xfId="9087" xr:uid="{46EE570F-854E-45D7-81C2-9C425498D7B6}"/>
    <cellStyle name="Normal 8 5 3" xfId="975" xr:uid="{00000000-0005-0000-0000-0000331E0000}"/>
    <cellStyle name="Normal 8 5 3 2" xfId="3209" xr:uid="{00000000-0005-0000-0000-0000341E0000}"/>
    <cellStyle name="Normal 8 5 3 2 2" xfId="7433" xr:uid="{00000000-0005-0000-0000-0000351E0000}"/>
    <cellStyle name="Normal 8 5 3 2 2 2" xfId="15862" xr:uid="{77240160-EA9C-49FD-B07D-DD7F0608AA18}"/>
    <cellStyle name="Normal 8 5 3 2 3" xfId="11644" xr:uid="{AFC08F4F-7F04-4814-B06D-5E1F9A7D7075}"/>
    <cellStyle name="Normal 8 5 3 3" xfId="5288" xr:uid="{00000000-0005-0000-0000-0000361E0000}"/>
    <cellStyle name="Normal 8 5 3 3 2" xfId="13717" xr:uid="{D5FAE416-2659-49D9-9B9F-55A368A9ED7A}"/>
    <cellStyle name="Normal 8 5 3 4" xfId="9499" xr:uid="{7A120750-165B-4FDB-83B7-A5B6AEAA18B8}"/>
    <cellStyle name="Normal 8 5 4" xfId="1392" xr:uid="{00000000-0005-0000-0000-0000371E0000}"/>
    <cellStyle name="Normal 8 5 4 2" xfId="3622" xr:uid="{00000000-0005-0000-0000-0000381E0000}"/>
    <cellStyle name="Normal 8 5 4 2 2" xfId="7846" xr:uid="{00000000-0005-0000-0000-0000391E0000}"/>
    <cellStyle name="Normal 8 5 4 2 2 2" xfId="16275" xr:uid="{A638676C-46DB-441B-9983-2BEADEB63527}"/>
    <cellStyle name="Normal 8 5 4 2 3" xfId="12057" xr:uid="{A9A7E9ED-B40C-45C7-B3BC-09DC133FF60E}"/>
    <cellStyle name="Normal 8 5 4 3" xfId="5701" xr:uid="{00000000-0005-0000-0000-00003A1E0000}"/>
    <cellStyle name="Normal 8 5 4 3 2" xfId="14130" xr:uid="{F25EAD73-EC36-447D-8B6C-779FC339F411}"/>
    <cellStyle name="Normal 8 5 4 4" xfId="9912" xr:uid="{F1A4E34F-BC29-46C8-B82F-7D8551AAECE5}"/>
    <cellStyle name="Normal 8 5 5" xfId="1805" xr:uid="{00000000-0005-0000-0000-00003B1E0000}"/>
    <cellStyle name="Normal 8 5 5 2" xfId="4035" xr:uid="{00000000-0005-0000-0000-00003C1E0000}"/>
    <cellStyle name="Normal 8 5 5 2 2" xfId="8259" xr:uid="{00000000-0005-0000-0000-00003D1E0000}"/>
    <cellStyle name="Normal 8 5 5 2 2 2" xfId="16688" xr:uid="{794CC160-4E80-4634-A2C1-FF2DBD70E13F}"/>
    <cellStyle name="Normal 8 5 5 2 3" xfId="12470" xr:uid="{F855EA24-76C0-4119-B8B5-F687631DB5A9}"/>
    <cellStyle name="Normal 8 5 5 3" xfId="6114" xr:uid="{00000000-0005-0000-0000-00003E1E0000}"/>
    <cellStyle name="Normal 8 5 5 3 2" xfId="14543" xr:uid="{0DDE5BA5-0DE6-4CB4-A700-BE518B5217D4}"/>
    <cellStyle name="Normal 8 5 5 4" xfId="10325" xr:uid="{56BABDE1-033A-4E0B-B29A-256CAFEB6FA4}"/>
    <cellStyle name="Normal 8 5 6" xfId="2219" xr:uid="{00000000-0005-0000-0000-00003F1E0000}"/>
    <cellStyle name="Normal 8 5 6 2" xfId="4448" xr:uid="{00000000-0005-0000-0000-0000401E0000}"/>
    <cellStyle name="Normal 8 5 6 2 2" xfId="8672" xr:uid="{00000000-0005-0000-0000-0000411E0000}"/>
    <cellStyle name="Normal 8 5 6 2 2 2" xfId="17101" xr:uid="{20B15678-0943-4C03-BDC7-3A0AE6516CF7}"/>
    <cellStyle name="Normal 8 5 6 2 3" xfId="12883" xr:uid="{DD1EE067-5916-43BB-80CA-3B0CA661A842}"/>
    <cellStyle name="Normal 8 5 6 3" xfId="6527" xr:uid="{00000000-0005-0000-0000-0000421E0000}"/>
    <cellStyle name="Normal 8 5 6 3 2" xfId="14956" xr:uid="{3B90EC85-73C5-48A1-8F3D-D8337FF4A214}"/>
    <cellStyle name="Normal 8 5 6 4" xfId="10738" xr:uid="{526E5741-EEB6-4862-9C89-6C622123A8DD}"/>
    <cellStyle name="Normal 8 5 7" xfId="2655" xr:uid="{00000000-0005-0000-0000-0000431E0000}"/>
    <cellStyle name="Normal 8 5 7 2" xfId="6940" xr:uid="{00000000-0005-0000-0000-0000441E0000}"/>
    <cellStyle name="Normal 8 5 7 2 2" xfId="15369" xr:uid="{D3F277CA-29D6-42DF-9B52-3CF04F433737}"/>
    <cellStyle name="Normal 8 5 7 3" xfId="11151" xr:uid="{9B14F116-EC70-4031-A44C-2C7EDF9FCA2B}"/>
    <cellStyle name="Normal 8 5 8" xfId="4875" xr:uid="{00000000-0005-0000-0000-0000451E0000}"/>
    <cellStyle name="Normal 8 5 8 2" xfId="13304" xr:uid="{E84DEC1C-58A6-4E97-90AA-E1FD40B6A697}"/>
    <cellStyle name="Normal 8 5 9" xfId="9086" xr:uid="{9EBBF52D-F6B2-4D2C-8639-B948074A51AC}"/>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2 2" xfId="15864" xr:uid="{C2FDA1E4-958A-4EC8-9565-59936B4CE376}"/>
    <cellStyle name="Normal 8 6 2 2 3" xfId="11646" xr:uid="{46EEC52A-A341-420A-B3E4-D29A96BA1DF8}"/>
    <cellStyle name="Normal 8 6 2 3" xfId="5290" xr:uid="{00000000-0005-0000-0000-00004A1E0000}"/>
    <cellStyle name="Normal 8 6 2 3 2" xfId="13719" xr:uid="{B305FFBA-7B26-4070-B452-A05793F8FB65}"/>
    <cellStyle name="Normal 8 6 2 4" xfId="9501" xr:uid="{15BAFDAA-B68E-497E-9D2B-C2BC800ED48A}"/>
    <cellStyle name="Normal 8 6 3" xfId="1394" xr:uid="{00000000-0005-0000-0000-00004B1E0000}"/>
    <cellStyle name="Normal 8 6 3 2" xfId="3624" xr:uid="{00000000-0005-0000-0000-00004C1E0000}"/>
    <cellStyle name="Normal 8 6 3 2 2" xfId="7848" xr:uid="{00000000-0005-0000-0000-00004D1E0000}"/>
    <cellStyle name="Normal 8 6 3 2 2 2" xfId="16277" xr:uid="{E4D27D9D-BC26-43D9-ABC7-191F5C502B6C}"/>
    <cellStyle name="Normal 8 6 3 2 3" xfId="12059" xr:uid="{B10A75D3-7E47-4636-8429-E03197A06F6C}"/>
    <cellStyle name="Normal 8 6 3 3" xfId="5703" xr:uid="{00000000-0005-0000-0000-00004E1E0000}"/>
    <cellStyle name="Normal 8 6 3 3 2" xfId="14132" xr:uid="{AFB3A70B-AB28-45CF-9872-8FA6ECE186FC}"/>
    <cellStyle name="Normal 8 6 3 4" xfId="9914" xr:uid="{3ACF8FB9-F5EF-48B5-B51B-A926F6DDE89F}"/>
    <cellStyle name="Normal 8 6 4" xfId="1807" xr:uid="{00000000-0005-0000-0000-00004F1E0000}"/>
    <cellStyle name="Normal 8 6 4 2" xfId="4037" xr:uid="{00000000-0005-0000-0000-0000501E0000}"/>
    <cellStyle name="Normal 8 6 4 2 2" xfId="8261" xr:uid="{00000000-0005-0000-0000-0000511E0000}"/>
    <cellStyle name="Normal 8 6 4 2 2 2" xfId="16690" xr:uid="{4664BE97-3B57-464B-AD7A-5DFC214CF394}"/>
    <cellStyle name="Normal 8 6 4 2 3" xfId="12472" xr:uid="{1C3E16AB-CF30-4B39-94AB-0008F2995469}"/>
    <cellStyle name="Normal 8 6 4 3" xfId="6116" xr:uid="{00000000-0005-0000-0000-0000521E0000}"/>
    <cellStyle name="Normal 8 6 4 3 2" xfId="14545" xr:uid="{9AEE631F-6BE6-43CB-A8E2-A8546BFC9DEC}"/>
    <cellStyle name="Normal 8 6 4 4" xfId="10327" xr:uid="{BF790715-7BDA-4058-BED2-4597C2925ED2}"/>
    <cellStyle name="Normal 8 6 5" xfId="2221" xr:uid="{00000000-0005-0000-0000-0000531E0000}"/>
    <cellStyle name="Normal 8 6 5 2" xfId="4450" xr:uid="{00000000-0005-0000-0000-0000541E0000}"/>
    <cellStyle name="Normal 8 6 5 2 2" xfId="8674" xr:uid="{00000000-0005-0000-0000-0000551E0000}"/>
    <cellStyle name="Normal 8 6 5 2 2 2" xfId="17103" xr:uid="{0EE4E654-5B18-4616-AE7F-B83D4461F910}"/>
    <cellStyle name="Normal 8 6 5 2 3" xfId="12885" xr:uid="{3E5031F9-A46E-4DCF-AAB0-0243FC4E88BE}"/>
    <cellStyle name="Normal 8 6 5 3" xfId="6529" xr:uid="{00000000-0005-0000-0000-0000561E0000}"/>
    <cellStyle name="Normal 8 6 5 3 2" xfId="14958" xr:uid="{26FFB2CB-C99D-47BA-8CF4-2EBC84535FB7}"/>
    <cellStyle name="Normal 8 6 5 4" xfId="10740" xr:uid="{07677424-D926-434D-A937-9E1E33A4EE25}"/>
    <cellStyle name="Normal 8 6 6" xfId="2657" xr:uid="{00000000-0005-0000-0000-0000571E0000}"/>
    <cellStyle name="Normal 8 6 6 2" xfId="6942" xr:uid="{00000000-0005-0000-0000-0000581E0000}"/>
    <cellStyle name="Normal 8 6 6 2 2" xfId="15371" xr:uid="{9448A834-345F-4E37-818B-C4E05C577B52}"/>
    <cellStyle name="Normal 8 6 6 3" xfId="11153" xr:uid="{5C20C898-BA98-4812-8DBB-931F4E9B9DC4}"/>
    <cellStyle name="Normal 8 6 7" xfId="4877" xr:uid="{00000000-0005-0000-0000-0000591E0000}"/>
    <cellStyle name="Normal 8 6 7 2" xfId="13306" xr:uid="{B450547E-13F6-4087-9610-2FADD78503C9}"/>
    <cellStyle name="Normal 8 6 8" xfId="9088" xr:uid="{04F1C30F-295B-4227-9615-B438A3533D22}"/>
    <cellStyle name="Normal 8 7" xfId="946" xr:uid="{00000000-0005-0000-0000-00005A1E0000}"/>
    <cellStyle name="Normal 8 7 2" xfId="3180" xr:uid="{00000000-0005-0000-0000-00005B1E0000}"/>
    <cellStyle name="Normal 8 7 2 2" xfId="7404" xr:uid="{00000000-0005-0000-0000-00005C1E0000}"/>
    <cellStyle name="Normal 8 7 2 2 2" xfId="15833" xr:uid="{1825932F-AE03-4B65-B6D1-8B7136457F99}"/>
    <cellStyle name="Normal 8 7 2 3" xfId="11615" xr:uid="{0A747EC5-ECB3-4877-BA1A-ACD0EB94C089}"/>
    <cellStyle name="Normal 8 7 3" xfId="5259" xr:uid="{00000000-0005-0000-0000-00005D1E0000}"/>
    <cellStyle name="Normal 8 7 3 2" xfId="13688" xr:uid="{691FB31E-5982-48A3-BE86-B7FA00096689}"/>
    <cellStyle name="Normal 8 7 4" xfId="9470" xr:uid="{90918EF4-5CDE-4DB5-821C-6DD32D4E76CA}"/>
    <cellStyle name="Normal 8 8" xfId="1363" xr:uid="{00000000-0005-0000-0000-00005E1E0000}"/>
    <cellStyle name="Normal 8 8 2" xfId="3593" xr:uid="{00000000-0005-0000-0000-00005F1E0000}"/>
    <cellStyle name="Normal 8 8 2 2" xfId="7817" xr:uid="{00000000-0005-0000-0000-0000601E0000}"/>
    <cellStyle name="Normal 8 8 2 2 2" xfId="16246" xr:uid="{99190E6D-EF68-4250-8E26-184886F29308}"/>
    <cellStyle name="Normal 8 8 2 3" xfId="12028" xr:uid="{37408758-06F0-4E31-8BEE-D7F447552E85}"/>
    <cellStyle name="Normal 8 8 3" xfId="5672" xr:uid="{00000000-0005-0000-0000-0000611E0000}"/>
    <cellStyle name="Normal 8 8 3 2" xfId="14101" xr:uid="{4EF02F6A-1955-4765-B530-C50507AF17EE}"/>
    <cellStyle name="Normal 8 8 4" xfId="9883" xr:uid="{C0F59D3B-F0A2-48B4-8382-4D5B1BC53BEC}"/>
    <cellStyle name="Normal 8 9" xfId="1776" xr:uid="{00000000-0005-0000-0000-0000621E0000}"/>
    <cellStyle name="Normal 8 9 2" xfId="4006" xr:uid="{00000000-0005-0000-0000-0000631E0000}"/>
    <cellStyle name="Normal 8 9 2 2" xfId="8230" xr:uid="{00000000-0005-0000-0000-0000641E0000}"/>
    <cellStyle name="Normal 8 9 2 2 2" xfId="16659" xr:uid="{32E1A9D0-F092-4C25-A688-A449AD3C5CD8}"/>
    <cellStyle name="Normal 8 9 2 3" xfId="12441" xr:uid="{B2D7A837-0A1C-4045-B3C7-217F67C1AB63}"/>
    <cellStyle name="Normal 8 9 3" xfId="6085" xr:uid="{00000000-0005-0000-0000-0000651E0000}"/>
    <cellStyle name="Normal 8 9 3 2" xfId="14514" xr:uid="{DF0F653E-AD12-4374-9DCC-C5C72A4D3B61}"/>
    <cellStyle name="Normal 8 9 4" xfId="10296" xr:uid="{753F9F1B-B5D9-4DC9-B6E1-987EA1970413}"/>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2 2" xfId="15372" xr:uid="{442B0F9B-5169-40B0-AE78-AFFB37046120}"/>
    <cellStyle name="Normal 9 2 10 3" xfId="11154" xr:uid="{33B29A4D-DDDA-4B9F-9A6F-39B441E8F9C1}"/>
    <cellStyle name="Normal 9 2 11" xfId="4878" xr:uid="{00000000-0005-0000-0000-00006A1E0000}"/>
    <cellStyle name="Normal 9 2 11 2" xfId="13307" xr:uid="{3BEEF7C0-3B44-45D0-889D-F523CB9F0706}"/>
    <cellStyle name="Normal 9 2 12" xfId="9089" xr:uid="{8E186AB1-960E-4160-B0F3-5AC27277C71A}"/>
    <cellStyle name="Normal 9 2 2" xfId="512" xr:uid="{00000000-0005-0000-0000-00006B1E0000}"/>
    <cellStyle name="Normal 9 2 2 10" xfId="4879" xr:uid="{00000000-0005-0000-0000-00006C1E0000}"/>
    <cellStyle name="Normal 9 2 2 10 2" xfId="13308" xr:uid="{1394B1D7-29BB-4374-9C5B-FB70714CD33D}"/>
    <cellStyle name="Normal 9 2 2 11" xfId="9090" xr:uid="{95BCD964-784C-4558-AECE-99E0B3D3208B}"/>
    <cellStyle name="Normal 9 2 2 2" xfId="513" xr:uid="{00000000-0005-0000-0000-00006D1E0000}"/>
    <cellStyle name="Normal 9 2 2 2 10" xfId="9091" xr:uid="{EFD96DDA-322A-4F8A-966E-B61A95EAA083}"/>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2 2" xfId="15869" xr:uid="{147C82B5-F584-4A1A-B7C0-86CAE7997A3C}"/>
    <cellStyle name="Normal 9 2 2 2 2 2 2 2 3" xfId="11651" xr:uid="{FA400B7E-0539-4EDF-B094-9B47ABA1BC28}"/>
    <cellStyle name="Normal 9 2 2 2 2 2 2 3" xfId="5295" xr:uid="{00000000-0005-0000-0000-0000731E0000}"/>
    <cellStyle name="Normal 9 2 2 2 2 2 2 3 2" xfId="13724" xr:uid="{F94F3B62-01E6-4E9D-B314-25787068AE5F}"/>
    <cellStyle name="Normal 9 2 2 2 2 2 2 4" xfId="9506" xr:uid="{AB1439DD-1C48-49A6-8E29-967DBC305FD4}"/>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2 2" xfId="16282" xr:uid="{2D1022F9-2DF4-4A51-96EE-0A869A06C3AF}"/>
    <cellStyle name="Normal 9 2 2 2 2 2 3 2 3" xfId="12064" xr:uid="{873109C6-5B72-4577-BC34-BF449E79DA29}"/>
    <cellStyle name="Normal 9 2 2 2 2 2 3 3" xfId="5708" xr:uid="{00000000-0005-0000-0000-0000771E0000}"/>
    <cellStyle name="Normal 9 2 2 2 2 2 3 3 2" xfId="14137" xr:uid="{5ED5E06E-8182-4E80-8311-39E17D394E0A}"/>
    <cellStyle name="Normal 9 2 2 2 2 2 3 4" xfId="9919" xr:uid="{F96806B7-77DD-4BA6-A80E-9AB537E648FA}"/>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2 2" xfId="16695" xr:uid="{82EA610B-D94D-4F2C-AF1B-D78DC992E1D1}"/>
    <cellStyle name="Normal 9 2 2 2 2 2 4 2 3" xfId="12477" xr:uid="{A74EF6BE-757A-427B-A3AE-5A522191EF2A}"/>
    <cellStyle name="Normal 9 2 2 2 2 2 4 3" xfId="6121" xr:uid="{00000000-0005-0000-0000-00007B1E0000}"/>
    <cellStyle name="Normal 9 2 2 2 2 2 4 3 2" xfId="14550" xr:uid="{6C13B8F6-AC16-406B-990A-F7054AA45699}"/>
    <cellStyle name="Normal 9 2 2 2 2 2 4 4" xfId="10332" xr:uid="{2C93647E-1CB0-4457-B28F-815E03B1BCF7}"/>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2 2" xfId="17108" xr:uid="{7849BEDE-1781-41C9-9EE8-346202DCA88A}"/>
    <cellStyle name="Normal 9 2 2 2 2 2 5 2 3" xfId="12890" xr:uid="{5CEF1B0A-DF0B-41E0-AC82-F43429F4A1AD}"/>
    <cellStyle name="Normal 9 2 2 2 2 2 5 3" xfId="6534" xr:uid="{00000000-0005-0000-0000-00007F1E0000}"/>
    <cellStyle name="Normal 9 2 2 2 2 2 5 3 2" xfId="14963" xr:uid="{606E6853-EA5D-4F3A-94AC-DD6074724678}"/>
    <cellStyle name="Normal 9 2 2 2 2 2 5 4" xfId="10745" xr:uid="{3F31315A-D229-45E4-BFCD-D837A987B604}"/>
    <cellStyle name="Normal 9 2 2 2 2 2 6" xfId="2662" xr:uid="{00000000-0005-0000-0000-0000801E0000}"/>
    <cellStyle name="Normal 9 2 2 2 2 2 6 2" xfId="6947" xr:uid="{00000000-0005-0000-0000-0000811E0000}"/>
    <cellStyle name="Normal 9 2 2 2 2 2 6 2 2" xfId="15376" xr:uid="{E9088668-1071-4488-804A-94EBBDA176A5}"/>
    <cellStyle name="Normal 9 2 2 2 2 2 6 3" xfId="11158" xr:uid="{08C9EEBD-12E2-4029-BDB4-10FB0D7DFA5E}"/>
    <cellStyle name="Normal 9 2 2 2 2 2 7" xfId="4882" xr:uid="{00000000-0005-0000-0000-0000821E0000}"/>
    <cellStyle name="Normal 9 2 2 2 2 2 7 2" xfId="13311" xr:uid="{BB7BBA9B-AD96-40EB-AAB5-33648E7804AF}"/>
    <cellStyle name="Normal 9 2 2 2 2 2 8" xfId="9093" xr:uid="{861B58BD-A0FB-4892-BCA9-BB3ABAE8B379}"/>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2 2" xfId="15868" xr:uid="{6506A484-5516-4155-BDA2-38896FBC2085}"/>
    <cellStyle name="Normal 9 2 2 2 2 3 2 3" xfId="11650" xr:uid="{25869F57-32EB-4904-8128-55567721B088}"/>
    <cellStyle name="Normal 9 2 2 2 2 3 3" xfId="5294" xr:uid="{00000000-0005-0000-0000-0000861E0000}"/>
    <cellStyle name="Normal 9 2 2 2 2 3 3 2" xfId="13723" xr:uid="{1F7DEEE6-CF64-4B10-B6B5-CDDB10BD2D9E}"/>
    <cellStyle name="Normal 9 2 2 2 2 3 4" xfId="9505" xr:uid="{9237C8CC-0C34-45A5-8DC4-1B1191268CE5}"/>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2 2" xfId="16281" xr:uid="{B02942EF-D77C-43FD-8252-474C8FF0C004}"/>
    <cellStyle name="Normal 9 2 2 2 2 4 2 3" xfId="12063" xr:uid="{14397BED-802C-4606-B9FD-960BF145EF4B}"/>
    <cellStyle name="Normal 9 2 2 2 2 4 3" xfId="5707" xr:uid="{00000000-0005-0000-0000-00008A1E0000}"/>
    <cellStyle name="Normal 9 2 2 2 2 4 3 2" xfId="14136" xr:uid="{832F4C63-5572-4238-8F35-C846A0969946}"/>
    <cellStyle name="Normal 9 2 2 2 2 4 4" xfId="9918" xr:uid="{F1604B4B-7B0A-459A-9DF7-22EAAA3CD14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2 2" xfId="16694" xr:uid="{D933DBD5-8DFE-4B28-A63A-6927354AFA3C}"/>
    <cellStyle name="Normal 9 2 2 2 2 5 2 3" xfId="12476" xr:uid="{77E2B032-CC13-4751-9F34-CC9C72C10FFF}"/>
    <cellStyle name="Normal 9 2 2 2 2 5 3" xfId="6120" xr:uid="{00000000-0005-0000-0000-00008E1E0000}"/>
    <cellStyle name="Normal 9 2 2 2 2 5 3 2" xfId="14549" xr:uid="{3E1E5274-79AA-40B7-8F47-97E8794520A5}"/>
    <cellStyle name="Normal 9 2 2 2 2 5 4" xfId="10331" xr:uid="{761F311C-167A-4004-BACA-465076A77CDB}"/>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2 2" xfId="17107" xr:uid="{E02F9AC1-F61F-4C1A-802B-997CC7C0E06F}"/>
    <cellStyle name="Normal 9 2 2 2 2 6 2 3" xfId="12889" xr:uid="{5B915CD8-D9C5-409F-83A2-A71A375B836D}"/>
    <cellStyle name="Normal 9 2 2 2 2 6 3" xfId="6533" xr:uid="{00000000-0005-0000-0000-0000921E0000}"/>
    <cellStyle name="Normal 9 2 2 2 2 6 3 2" xfId="14962" xr:uid="{04214780-EEB9-4C82-AA91-4220C90033AE}"/>
    <cellStyle name="Normal 9 2 2 2 2 6 4" xfId="10744" xr:uid="{C831466A-ECDB-47CB-ABE8-A45D0FE02A51}"/>
    <cellStyle name="Normal 9 2 2 2 2 7" xfId="2661" xr:uid="{00000000-0005-0000-0000-0000931E0000}"/>
    <cellStyle name="Normal 9 2 2 2 2 7 2" xfId="6946" xr:uid="{00000000-0005-0000-0000-0000941E0000}"/>
    <cellStyle name="Normal 9 2 2 2 2 7 2 2" xfId="15375" xr:uid="{E3397439-E670-4D89-969E-FA684827CA0C}"/>
    <cellStyle name="Normal 9 2 2 2 2 7 3" xfId="11157" xr:uid="{194BF6BA-D028-4B82-A29E-A35F16A36440}"/>
    <cellStyle name="Normal 9 2 2 2 2 8" xfId="4881" xr:uid="{00000000-0005-0000-0000-0000951E0000}"/>
    <cellStyle name="Normal 9 2 2 2 2 8 2" xfId="13310" xr:uid="{EAF8D219-C2A6-4AC9-A56B-BFE03FFFBC3F}"/>
    <cellStyle name="Normal 9 2 2 2 2 9" xfId="9092" xr:uid="{1A054B0E-0FBD-42F6-90CD-C0C2433F9D2E}"/>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2 2" xfId="15870" xr:uid="{A9492014-A510-4546-A4D3-79B75D4EDFF8}"/>
    <cellStyle name="Normal 9 2 2 2 3 2 2 3" xfId="11652" xr:uid="{549671FA-243E-4413-86E6-0BEB0A268E35}"/>
    <cellStyle name="Normal 9 2 2 2 3 2 3" xfId="5296" xr:uid="{00000000-0005-0000-0000-00009A1E0000}"/>
    <cellStyle name="Normal 9 2 2 2 3 2 3 2" xfId="13725" xr:uid="{8C115B42-8482-4706-B653-678FB41DA45C}"/>
    <cellStyle name="Normal 9 2 2 2 3 2 4" xfId="9507" xr:uid="{ECA2455A-3533-49D9-9B7F-7E8429ABAEA5}"/>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2 2" xfId="16283" xr:uid="{52117B67-55DB-460A-A76C-C490923E9EAB}"/>
    <cellStyle name="Normal 9 2 2 2 3 3 2 3" xfId="12065" xr:uid="{4F4B186F-B4FF-4691-9633-F6FC38E056D7}"/>
    <cellStyle name="Normal 9 2 2 2 3 3 3" xfId="5709" xr:uid="{00000000-0005-0000-0000-00009E1E0000}"/>
    <cellStyle name="Normal 9 2 2 2 3 3 3 2" xfId="14138" xr:uid="{7778AFB6-1137-4747-82C9-266241F1D7DB}"/>
    <cellStyle name="Normal 9 2 2 2 3 3 4" xfId="9920" xr:uid="{C876BECA-7F65-43EC-8E18-257405218CBF}"/>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2 2" xfId="16696" xr:uid="{126909F4-5B77-43B3-9CF1-66B9EADA96D4}"/>
    <cellStyle name="Normal 9 2 2 2 3 4 2 3" xfId="12478" xr:uid="{D7716252-AC9F-4187-BB4C-8B1956D32273}"/>
    <cellStyle name="Normal 9 2 2 2 3 4 3" xfId="6122" xr:uid="{00000000-0005-0000-0000-0000A21E0000}"/>
    <cellStyle name="Normal 9 2 2 2 3 4 3 2" xfId="14551" xr:uid="{0B8CF94A-A698-4B01-A432-32CC6ADEF1B4}"/>
    <cellStyle name="Normal 9 2 2 2 3 4 4" xfId="10333" xr:uid="{3E03BBF2-C367-4E7C-9738-425DF130FB11}"/>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2 2" xfId="17109" xr:uid="{ACA9F04F-05BA-4FFA-9B28-92B813E873F9}"/>
    <cellStyle name="Normal 9 2 2 2 3 5 2 3" xfId="12891" xr:uid="{A9960E88-B969-4484-9E6C-F4D85B4B50B6}"/>
    <cellStyle name="Normal 9 2 2 2 3 5 3" xfId="6535" xr:uid="{00000000-0005-0000-0000-0000A61E0000}"/>
    <cellStyle name="Normal 9 2 2 2 3 5 3 2" xfId="14964" xr:uid="{3ED9F2A3-A14B-4B41-ACEC-C46B8CFBF4C4}"/>
    <cellStyle name="Normal 9 2 2 2 3 5 4" xfId="10746" xr:uid="{C78E7E05-6520-4B36-9098-047E310C63C9}"/>
    <cellStyle name="Normal 9 2 2 2 3 6" xfId="2663" xr:uid="{00000000-0005-0000-0000-0000A71E0000}"/>
    <cellStyle name="Normal 9 2 2 2 3 6 2" xfId="6948" xr:uid="{00000000-0005-0000-0000-0000A81E0000}"/>
    <cellStyle name="Normal 9 2 2 2 3 6 2 2" xfId="15377" xr:uid="{BACE605D-EE7E-4A37-8B17-3CC5637D89CF}"/>
    <cellStyle name="Normal 9 2 2 2 3 6 3" xfId="11159" xr:uid="{95F13674-FFA2-41B1-9ADF-CE4D3B282E1B}"/>
    <cellStyle name="Normal 9 2 2 2 3 7" xfId="4883" xr:uid="{00000000-0005-0000-0000-0000A91E0000}"/>
    <cellStyle name="Normal 9 2 2 2 3 7 2" xfId="13312" xr:uid="{60E2E327-1F82-46FE-9E64-B5C72AC1F2C4}"/>
    <cellStyle name="Normal 9 2 2 2 3 8" xfId="9094" xr:uid="{AE92E68C-8516-45B6-883B-D36C064A9D28}"/>
    <cellStyle name="Normal 9 2 2 2 4" xfId="981" xr:uid="{00000000-0005-0000-0000-0000AA1E0000}"/>
    <cellStyle name="Normal 9 2 2 2 4 2" xfId="3214" xr:uid="{00000000-0005-0000-0000-0000AB1E0000}"/>
    <cellStyle name="Normal 9 2 2 2 4 2 2" xfId="7438" xr:uid="{00000000-0005-0000-0000-0000AC1E0000}"/>
    <cellStyle name="Normal 9 2 2 2 4 2 2 2" xfId="15867" xr:uid="{E56487EC-596D-44D0-B230-BDB380E1F1C8}"/>
    <cellStyle name="Normal 9 2 2 2 4 2 3" xfId="11649" xr:uid="{42BDD8A6-64F9-4FDF-A8DD-A61AC7422ECE}"/>
    <cellStyle name="Normal 9 2 2 2 4 3" xfId="5293" xr:uid="{00000000-0005-0000-0000-0000AD1E0000}"/>
    <cellStyle name="Normal 9 2 2 2 4 3 2" xfId="13722" xr:uid="{2B3D1CA3-D3FA-4830-99B6-95BBA93A0AA3}"/>
    <cellStyle name="Normal 9 2 2 2 4 4" xfId="9504" xr:uid="{E280FBCC-C451-4429-8A3F-0AA0709D4F70}"/>
    <cellStyle name="Normal 9 2 2 2 5" xfId="1397" xr:uid="{00000000-0005-0000-0000-0000AE1E0000}"/>
    <cellStyle name="Normal 9 2 2 2 5 2" xfId="3627" xr:uid="{00000000-0005-0000-0000-0000AF1E0000}"/>
    <cellStyle name="Normal 9 2 2 2 5 2 2" xfId="7851" xr:uid="{00000000-0005-0000-0000-0000B01E0000}"/>
    <cellStyle name="Normal 9 2 2 2 5 2 2 2" xfId="16280" xr:uid="{2E718F01-1FEC-45E9-A423-96F6C98F0A97}"/>
    <cellStyle name="Normal 9 2 2 2 5 2 3" xfId="12062" xr:uid="{B8535A44-F7E8-4011-A131-3F7DA59DD004}"/>
    <cellStyle name="Normal 9 2 2 2 5 3" xfId="5706" xr:uid="{00000000-0005-0000-0000-0000B11E0000}"/>
    <cellStyle name="Normal 9 2 2 2 5 3 2" xfId="14135" xr:uid="{92591F64-7769-4711-A6AB-C50B8500BAF3}"/>
    <cellStyle name="Normal 9 2 2 2 5 4" xfId="9917" xr:uid="{2C3E31B2-4A9E-4AB0-A987-7934EA2B7B90}"/>
    <cellStyle name="Normal 9 2 2 2 6" xfId="1810" xr:uid="{00000000-0005-0000-0000-0000B21E0000}"/>
    <cellStyle name="Normal 9 2 2 2 6 2" xfId="4040" xr:uid="{00000000-0005-0000-0000-0000B31E0000}"/>
    <cellStyle name="Normal 9 2 2 2 6 2 2" xfId="8264" xr:uid="{00000000-0005-0000-0000-0000B41E0000}"/>
    <cellStyle name="Normal 9 2 2 2 6 2 2 2" xfId="16693" xr:uid="{F5DF22A0-4B3D-4C5E-8842-2A0DCE9BDEC3}"/>
    <cellStyle name="Normal 9 2 2 2 6 2 3" xfId="12475" xr:uid="{6F3B6116-A8A7-41E0-8EB7-305BAF1532AD}"/>
    <cellStyle name="Normal 9 2 2 2 6 3" xfId="6119" xr:uid="{00000000-0005-0000-0000-0000B51E0000}"/>
    <cellStyle name="Normal 9 2 2 2 6 3 2" xfId="14548" xr:uid="{29F6CB5C-CCEA-40C4-98D0-26803968D8E1}"/>
    <cellStyle name="Normal 9 2 2 2 6 4" xfId="10330" xr:uid="{BD4AC789-C191-408F-AD90-18DFDB7C0216}"/>
    <cellStyle name="Normal 9 2 2 2 7" xfId="2224" xr:uid="{00000000-0005-0000-0000-0000B61E0000}"/>
    <cellStyle name="Normal 9 2 2 2 7 2" xfId="4453" xr:uid="{00000000-0005-0000-0000-0000B71E0000}"/>
    <cellStyle name="Normal 9 2 2 2 7 2 2" xfId="8677" xr:uid="{00000000-0005-0000-0000-0000B81E0000}"/>
    <cellStyle name="Normal 9 2 2 2 7 2 2 2" xfId="17106" xr:uid="{A9EE3278-9B5C-48CE-989B-EF8DDF77464D}"/>
    <cellStyle name="Normal 9 2 2 2 7 2 3" xfId="12888" xr:uid="{974F9FC2-A5EB-458F-B950-C4350D9D5603}"/>
    <cellStyle name="Normal 9 2 2 2 7 3" xfId="6532" xr:uid="{00000000-0005-0000-0000-0000B91E0000}"/>
    <cellStyle name="Normal 9 2 2 2 7 3 2" xfId="14961" xr:uid="{A7CF0595-8B70-4513-B1F8-019C43E14B96}"/>
    <cellStyle name="Normal 9 2 2 2 7 4" xfId="10743" xr:uid="{8E7C4B2F-113D-4688-ABAD-A634D1DE99B9}"/>
    <cellStyle name="Normal 9 2 2 2 8" xfId="2660" xr:uid="{00000000-0005-0000-0000-0000BA1E0000}"/>
    <cellStyle name="Normal 9 2 2 2 8 2" xfId="6945" xr:uid="{00000000-0005-0000-0000-0000BB1E0000}"/>
    <cellStyle name="Normal 9 2 2 2 8 2 2" xfId="15374" xr:uid="{BB09F644-0897-4D8C-9EE9-2FCD5B3DF15B}"/>
    <cellStyle name="Normal 9 2 2 2 8 3" xfId="11156" xr:uid="{EAE512A1-4774-4329-95A5-3D69A3FB518A}"/>
    <cellStyle name="Normal 9 2 2 2 9" xfId="4880" xr:uid="{00000000-0005-0000-0000-0000BC1E0000}"/>
    <cellStyle name="Normal 9 2 2 2 9 2" xfId="13309" xr:uid="{4C21CFAF-FE1E-4739-8FB8-98FEB555F84D}"/>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2 2" xfId="15872" xr:uid="{D403E969-5461-4525-AD66-2212FC5F5FDC}"/>
    <cellStyle name="Normal 9 2 2 3 2 2 2 3" xfId="11654" xr:uid="{9996D511-ED0F-41C5-99DD-E5D40D38C679}"/>
    <cellStyle name="Normal 9 2 2 3 2 2 3" xfId="5298" xr:uid="{00000000-0005-0000-0000-0000C21E0000}"/>
    <cellStyle name="Normal 9 2 2 3 2 2 3 2" xfId="13727" xr:uid="{25C54782-8A0C-460D-A7DF-B4569E76B859}"/>
    <cellStyle name="Normal 9 2 2 3 2 2 4" xfId="9509" xr:uid="{14E45378-EACB-4E7D-8868-40403F08515B}"/>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2 2" xfId="16285" xr:uid="{7ED3BCF8-2591-4980-89D6-19A410363733}"/>
    <cellStyle name="Normal 9 2 2 3 2 3 2 3" xfId="12067" xr:uid="{4C790D46-05E5-43EF-8029-2569655A6F65}"/>
    <cellStyle name="Normal 9 2 2 3 2 3 3" xfId="5711" xr:uid="{00000000-0005-0000-0000-0000C61E0000}"/>
    <cellStyle name="Normal 9 2 2 3 2 3 3 2" xfId="14140" xr:uid="{8CD89318-72E3-42C9-B269-88CAB7A571AA}"/>
    <cellStyle name="Normal 9 2 2 3 2 3 4" xfId="9922" xr:uid="{762F5EB6-3BB6-4E16-81F3-DFF40F72E2BD}"/>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2 2" xfId="16698" xr:uid="{2C8698C0-6614-42C4-BCBE-A29A0CCD4096}"/>
    <cellStyle name="Normal 9 2 2 3 2 4 2 3" xfId="12480" xr:uid="{5F8BE636-1523-4A67-B4DB-365B38F6AF09}"/>
    <cellStyle name="Normal 9 2 2 3 2 4 3" xfId="6124" xr:uid="{00000000-0005-0000-0000-0000CA1E0000}"/>
    <cellStyle name="Normal 9 2 2 3 2 4 3 2" xfId="14553" xr:uid="{281228A4-6027-447E-B932-178E67C935DA}"/>
    <cellStyle name="Normal 9 2 2 3 2 4 4" xfId="10335" xr:uid="{7B271BB1-B270-485E-B68A-07860AB775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2 2" xfId="17111" xr:uid="{C50029D2-D09B-4606-9E31-9BAF683268C4}"/>
    <cellStyle name="Normal 9 2 2 3 2 5 2 3" xfId="12893" xr:uid="{5B04511E-A541-4F0E-A736-CB167E12FC63}"/>
    <cellStyle name="Normal 9 2 2 3 2 5 3" xfId="6537" xr:uid="{00000000-0005-0000-0000-0000CE1E0000}"/>
    <cellStyle name="Normal 9 2 2 3 2 5 3 2" xfId="14966" xr:uid="{505735B2-0EE7-4CAB-B59D-93E2718B82F7}"/>
    <cellStyle name="Normal 9 2 2 3 2 5 4" xfId="10748" xr:uid="{6593D8AA-8D13-40F1-9033-7B7F2DE6E603}"/>
    <cellStyle name="Normal 9 2 2 3 2 6" xfId="2665" xr:uid="{00000000-0005-0000-0000-0000CF1E0000}"/>
    <cellStyle name="Normal 9 2 2 3 2 6 2" xfId="6950" xr:uid="{00000000-0005-0000-0000-0000D01E0000}"/>
    <cellStyle name="Normal 9 2 2 3 2 6 2 2" xfId="15379" xr:uid="{59D88E88-6CF0-4CB2-8BA1-6C0CFC3D968F}"/>
    <cellStyle name="Normal 9 2 2 3 2 6 3" xfId="11161" xr:uid="{6AF00A90-3AB2-4621-8771-9C6487ADC2D5}"/>
    <cellStyle name="Normal 9 2 2 3 2 7" xfId="4885" xr:uid="{00000000-0005-0000-0000-0000D11E0000}"/>
    <cellStyle name="Normal 9 2 2 3 2 7 2" xfId="13314" xr:uid="{B733533C-6908-4B68-B16C-CB2876E61DE4}"/>
    <cellStyle name="Normal 9 2 2 3 2 8" xfId="9096" xr:uid="{210A2835-86D4-4202-AD2F-BBF5118D99AD}"/>
    <cellStyle name="Normal 9 2 2 3 3" xfId="985" xr:uid="{00000000-0005-0000-0000-0000D21E0000}"/>
    <cellStyle name="Normal 9 2 2 3 3 2" xfId="3218" xr:uid="{00000000-0005-0000-0000-0000D31E0000}"/>
    <cellStyle name="Normal 9 2 2 3 3 2 2" xfId="7442" xr:uid="{00000000-0005-0000-0000-0000D41E0000}"/>
    <cellStyle name="Normal 9 2 2 3 3 2 2 2" xfId="15871" xr:uid="{28FB03BF-FA1C-4F76-BEA1-F5C3423040CB}"/>
    <cellStyle name="Normal 9 2 2 3 3 2 3" xfId="11653" xr:uid="{C92A0B33-EC4C-41F9-A46D-31BF402E285F}"/>
    <cellStyle name="Normal 9 2 2 3 3 3" xfId="5297" xr:uid="{00000000-0005-0000-0000-0000D51E0000}"/>
    <cellStyle name="Normal 9 2 2 3 3 3 2" xfId="13726" xr:uid="{541FAD6C-8848-4D1E-9B99-44FE8DF67BFA}"/>
    <cellStyle name="Normal 9 2 2 3 3 4" xfId="9508" xr:uid="{22813B7C-30C1-4617-95EF-AABA8B5FBFC8}"/>
    <cellStyle name="Normal 9 2 2 3 4" xfId="1401" xr:uid="{00000000-0005-0000-0000-0000D61E0000}"/>
    <cellStyle name="Normal 9 2 2 3 4 2" xfId="3631" xr:uid="{00000000-0005-0000-0000-0000D71E0000}"/>
    <cellStyle name="Normal 9 2 2 3 4 2 2" xfId="7855" xr:uid="{00000000-0005-0000-0000-0000D81E0000}"/>
    <cellStyle name="Normal 9 2 2 3 4 2 2 2" xfId="16284" xr:uid="{0C4A91B4-A8FA-4758-A27F-1A8C5F89667D}"/>
    <cellStyle name="Normal 9 2 2 3 4 2 3" xfId="12066" xr:uid="{30A11B50-5E7B-4E7F-A8CB-2084D00C3A8D}"/>
    <cellStyle name="Normal 9 2 2 3 4 3" xfId="5710" xr:uid="{00000000-0005-0000-0000-0000D91E0000}"/>
    <cellStyle name="Normal 9 2 2 3 4 3 2" xfId="14139" xr:uid="{C608F8BC-759C-47B6-AC2F-0D8DCCEF5B7E}"/>
    <cellStyle name="Normal 9 2 2 3 4 4" xfId="9921" xr:uid="{46460D57-70B3-422F-86AA-99B4B0B11E26}"/>
    <cellStyle name="Normal 9 2 2 3 5" xfId="1814" xr:uid="{00000000-0005-0000-0000-0000DA1E0000}"/>
    <cellStyle name="Normal 9 2 2 3 5 2" xfId="4044" xr:uid="{00000000-0005-0000-0000-0000DB1E0000}"/>
    <cellStyle name="Normal 9 2 2 3 5 2 2" xfId="8268" xr:uid="{00000000-0005-0000-0000-0000DC1E0000}"/>
    <cellStyle name="Normal 9 2 2 3 5 2 2 2" xfId="16697" xr:uid="{060EB411-4078-4F5A-B723-9D1906E0A6FE}"/>
    <cellStyle name="Normal 9 2 2 3 5 2 3" xfId="12479" xr:uid="{043B82F1-D967-4E88-9A38-5ED50BDC7F97}"/>
    <cellStyle name="Normal 9 2 2 3 5 3" xfId="6123" xr:uid="{00000000-0005-0000-0000-0000DD1E0000}"/>
    <cellStyle name="Normal 9 2 2 3 5 3 2" xfId="14552" xr:uid="{0F8992E8-B759-4350-84C0-14E3E8BCC8AC}"/>
    <cellStyle name="Normal 9 2 2 3 5 4" xfId="10334" xr:uid="{9678CCEF-6B60-433D-906B-F61BDEBFBE9B}"/>
    <cellStyle name="Normal 9 2 2 3 6" xfId="2228" xr:uid="{00000000-0005-0000-0000-0000DE1E0000}"/>
    <cellStyle name="Normal 9 2 2 3 6 2" xfId="4457" xr:uid="{00000000-0005-0000-0000-0000DF1E0000}"/>
    <cellStyle name="Normal 9 2 2 3 6 2 2" xfId="8681" xr:uid="{00000000-0005-0000-0000-0000E01E0000}"/>
    <cellStyle name="Normal 9 2 2 3 6 2 2 2" xfId="17110" xr:uid="{F72E33A6-F047-4E67-BB1A-0507BC5253AA}"/>
    <cellStyle name="Normal 9 2 2 3 6 2 3" xfId="12892" xr:uid="{DCCFE492-FAF6-4384-A5AB-13A869559359}"/>
    <cellStyle name="Normal 9 2 2 3 6 3" xfId="6536" xr:uid="{00000000-0005-0000-0000-0000E11E0000}"/>
    <cellStyle name="Normal 9 2 2 3 6 3 2" xfId="14965" xr:uid="{5CFB323A-36AE-4764-98DE-FCB25D3598AE}"/>
    <cellStyle name="Normal 9 2 2 3 6 4" xfId="10747" xr:uid="{4F9B5998-DE7A-49D3-938C-5120F79D5F95}"/>
    <cellStyle name="Normal 9 2 2 3 7" xfId="2664" xr:uid="{00000000-0005-0000-0000-0000E21E0000}"/>
    <cellStyle name="Normal 9 2 2 3 7 2" xfId="6949" xr:uid="{00000000-0005-0000-0000-0000E31E0000}"/>
    <cellStyle name="Normal 9 2 2 3 7 2 2" xfId="15378" xr:uid="{A971C9D6-901D-4A61-BDCE-B02CCDBDBCC8}"/>
    <cellStyle name="Normal 9 2 2 3 7 3" xfId="11160" xr:uid="{AFB0B4C4-C943-4498-9FE3-C18C4661FD27}"/>
    <cellStyle name="Normal 9 2 2 3 8" xfId="4884" xr:uid="{00000000-0005-0000-0000-0000E41E0000}"/>
    <cellStyle name="Normal 9 2 2 3 8 2" xfId="13313" xr:uid="{5BE3BA09-261E-4462-B002-392155A02214}"/>
    <cellStyle name="Normal 9 2 2 3 9" xfId="9095" xr:uid="{70741733-EDEE-4C54-A3A7-6087579574A8}"/>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2 2" xfId="15873" xr:uid="{A99D066A-4C8E-4016-AA10-3BB5158A4730}"/>
    <cellStyle name="Normal 9 2 2 4 2 2 3" xfId="11655" xr:uid="{0103F44D-2920-43B2-B443-EFCEC3F8EFAD}"/>
    <cellStyle name="Normal 9 2 2 4 2 3" xfId="5299" xr:uid="{00000000-0005-0000-0000-0000E91E0000}"/>
    <cellStyle name="Normal 9 2 2 4 2 3 2" xfId="13728" xr:uid="{159DFAFB-4B0B-4ABF-9B57-698E52282AB4}"/>
    <cellStyle name="Normal 9 2 2 4 2 4" xfId="9510" xr:uid="{8309E4A4-4825-40D9-BCC5-C8B2AB490990}"/>
    <cellStyle name="Normal 9 2 2 4 3" xfId="1403" xr:uid="{00000000-0005-0000-0000-0000EA1E0000}"/>
    <cellStyle name="Normal 9 2 2 4 3 2" xfId="3633" xr:uid="{00000000-0005-0000-0000-0000EB1E0000}"/>
    <cellStyle name="Normal 9 2 2 4 3 2 2" xfId="7857" xr:uid="{00000000-0005-0000-0000-0000EC1E0000}"/>
    <cellStyle name="Normal 9 2 2 4 3 2 2 2" xfId="16286" xr:uid="{6B8593F9-1E91-43A7-99DF-8FF429226558}"/>
    <cellStyle name="Normal 9 2 2 4 3 2 3" xfId="12068" xr:uid="{C9128DE4-8B24-4E09-A0A1-5B606F9733F4}"/>
    <cellStyle name="Normal 9 2 2 4 3 3" xfId="5712" xr:uid="{00000000-0005-0000-0000-0000ED1E0000}"/>
    <cellStyle name="Normal 9 2 2 4 3 3 2" xfId="14141" xr:uid="{7E7B5E28-10A5-4A7E-8335-75EC88ED05D3}"/>
    <cellStyle name="Normal 9 2 2 4 3 4" xfId="9923" xr:uid="{192AE1EB-78CE-4FCA-BC91-EB3EE3BDBFBF}"/>
    <cellStyle name="Normal 9 2 2 4 4" xfId="1816" xr:uid="{00000000-0005-0000-0000-0000EE1E0000}"/>
    <cellStyle name="Normal 9 2 2 4 4 2" xfId="4046" xr:uid="{00000000-0005-0000-0000-0000EF1E0000}"/>
    <cellStyle name="Normal 9 2 2 4 4 2 2" xfId="8270" xr:uid="{00000000-0005-0000-0000-0000F01E0000}"/>
    <cellStyle name="Normal 9 2 2 4 4 2 2 2" xfId="16699" xr:uid="{F5F73012-FB7C-4624-8965-995F906440A1}"/>
    <cellStyle name="Normal 9 2 2 4 4 2 3" xfId="12481" xr:uid="{135A4FC3-19B5-4D0A-9405-4B24D9603884}"/>
    <cellStyle name="Normal 9 2 2 4 4 3" xfId="6125" xr:uid="{00000000-0005-0000-0000-0000F11E0000}"/>
    <cellStyle name="Normal 9 2 2 4 4 3 2" xfId="14554" xr:uid="{8A845746-7690-4ADE-B913-BDB8B1BF2A0E}"/>
    <cellStyle name="Normal 9 2 2 4 4 4" xfId="10336" xr:uid="{4FFCA882-5B3E-41D5-9311-F0B3ED6FEB6C}"/>
    <cellStyle name="Normal 9 2 2 4 5" xfId="2230" xr:uid="{00000000-0005-0000-0000-0000F21E0000}"/>
    <cellStyle name="Normal 9 2 2 4 5 2" xfId="4459" xr:uid="{00000000-0005-0000-0000-0000F31E0000}"/>
    <cellStyle name="Normal 9 2 2 4 5 2 2" xfId="8683" xr:uid="{00000000-0005-0000-0000-0000F41E0000}"/>
    <cellStyle name="Normal 9 2 2 4 5 2 2 2" xfId="17112" xr:uid="{307FE397-C655-47EA-B040-9CBC82FAB40F}"/>
    <cellStyle name="Normal 9 2 2 4 5 2 3" xfId="12894" xr:uid="{E382BF18-1F03-4424-9BB1-4E2ABCE81C97}"/>
    <cellStyle name="Normal 9 2 2 4 5 3" xfId="6538" xr:uid="{00000000-0005-0000-0000-0000F51E0000}"/>
    <cellStyle name="Normal 9 2 2 4 5 3 2" xfId="14967" xr:uid="{A789D39E-8AA0-4E3B-8D50-E9A56F45E332}"/>
    <cellStyle name="Normal 9 2 2 4 5 4" xfId="10749" xr:uid="{FFFCE5F9-FC99-4AD1-B357-44BD8E9E7034}"/>
    <cellStyle name="Normal 9 2 2 4 6" xfId="2666" xr:uid="{00000000-0005-0000-0000-0000F61E0000}"/>
    <cellStyle name="Normal 9 2 2 4 6 2" xfId="6951" xr:uid="{00000000-0005-0000-0000-0000F71E0000}"/>
    <cellStyle name="Normal 9 2 2 4 6 2 2" xfId="15380" xr:uid="{AE69EF3B-8FC8-4ADA-8DA1-18AE940E2D15}"/>
    <cellStyle name="Normal 9 2 2 4 6 3" xfId="11162" xr:uid="{B6A34F57-AB05-44AF-B6D4-809B33C22211}"/>
    <cellStyle name="Normal 9 2 2 4 7" xfId="4886" xr:uid="{00000000-0005-0000-0000-0000F81E0000}"/>
    <cellStyle name="Normal 9 2 2 4 7 2" xfId="13315" xr:uid="{30A84D99-F334-4A96-A017-75ED9A004594}"/>
    <cellStyle name="Normal 9 2 2 4 8" xfId="9097" xr:uid="{58F2E53D-4AB8-4576-A757-A93FCC426125}"/>
    <cellStyle name="Normal 9 2 2 5" xfId="980" xr:uid="{00000000-0005-0000-0000-0000F91E0000}"/>
    <cellStyle name="Normal 9 2 2 5 2" xfId="3213" xr:uid="{00000000-0005-0000-0000-0000FA1E0000}"/>
    <cellStyle name="Normal 9 2 2 5 2 2" xfId="7437" xr:uid="{00000000-0005-0000-0000-0000FB1E0000}"/>
    <cellStyle name="Normal 9 2 2 5 2 2 2" xfId="15866" xr:uid="{1284D3E9-2D29-437E-BF94-E091C2E04D9B}"/>
    <cellStyle name="Normal 9 2 2 5 2 3" xfId="11648" xr:uid="{BF9153FA-E473-40EE-ABF1-89F1D27784AC}"/>
    <cellStyle name="Normal 9 2 2 5 3" xfId="5292" xr:uid="{00000000-0005-0000-0000-0000FC1E0000}"/>
    <cellStyle name="Normal 9 2 2 5 3 2" xfId="13721" xr:uid="{7248E63F-2B1A-4805-A703-60F540FBB734}"/>
    <cellStyle name="Normal 9 2 2 5 4" xfId="9503" xr:uid="{7D066EE7-A954-4900-B411-E54427A47CD0}"/>
    <cellStyle name="Normal 9 2 2 6" xfId="1396" xr:uid="{00000000-0005-0000-0000-0000FD1E0000}"/>
    <cellStyle name="Normal 9 2 2 6 2" xfId="3626" xr:uid="{00000000-0005-0000-0000-0000FE1E0000}"/>
    <cellStyle name="Normal 9 2 2 6 2 2" xfId="7850" xr:uid="{00000000-0005-0000-0000-0000FF1E0000}"/>
    <cellStyle name="Normal 9 2 2 6 2 2 2" xfId="16279" xr:uid="{09D181C4-0D42-4646-B976-0BD574D31D49}"/>
    <cellStyle name="Normal 9 2 2 6 2 3" xfId="12061" xr:uid="{B8C84310-95B0-4995-9C43-26AD088085B1}"/>
    <cellStyle name="Normal 9 2 2 6 3" xfId="5705" xr:uid="{00000000-0005-0000-0000-0000001F0000}"/>
    <cellStyle name="Normal 9 2 2 6 3 2" xfId="14134" xr:uid="{9AAA10FF-2F03-4D1E-B119-B33E34E26DE9}"/>
    <cellStyle name="Normal 9 2 2 6 4" xfId="9916" xr:uid="{C11830C1-D024-49A1-AB5A-ED7797ACEC26}"/>
    <cellStyle name="Normal 9 2 2 7" xfId="1809" xr:uid="{00000000-0005-0000-0000-0000011F0000}"/>
    <cellStyle name="Normal 9 2 2 7 2" xfId="4039" xr:uid="{00000000-0005-0000-0000-0000021F0000}"/>
    <cellStyle name="Normal 9 2 2 7 2 2" xfId="8263" xr:uid="{00000000-0005-0000-0000-0000031F0000}"/>
    <cellStyle name="Normal 9 2 2 7 2 2 2" xfId="16692" xr:uid="{7B9D434C-59C7-48DB-8C20-BF5489F16ACD}"/>
    <cellStyle name="Normal 9 2 2 7 2 3" xfId="12474" xr:uid="{DCE12EE7-9445-4298-857D-0C63C9AC9EA7}"/>
    <cellStyle name="Normal 9 2 2 7 3" xfId="6118" xr:uid="{00000000-0005-0000-0000-0000041F0000}"/>
    <cellStyle name="Normal 9 2 2 7 3 2" xfId="14547" xr:uid="{DC4EE857-4BE7-41F3-AE72-41ED925E7EF2}"/>
    <cellStyle name="Normal 9 2 2 7 4" xfId="10329" xr:uid="{89EFD95B-6AAF-4B18-92B4-219BD4CB06EB}"/>
    <cellStyle name="Normal 9 2 2 8" xfId="2223" xr:uid="{00000000-0005-0000-0000-0000051F0000}"/>
    <cellStyle name="Normal 9 2 2 8 2" xfId="4452" xr:uid="{00000000-0005-0000-0000-0000061F0000}"/>
    <cellStyle name="Normal 9 2 2 8 2 2" xfId="8676" xr:uid="{00000000-0005-0000-0000-0000071F0000}"/>
    <cellStyle name="Normal 9 2 2 8 2 2 2" xfId="17105" xr:uid="{731D47D1-744D-470E-9BF0-CDCCE06D2D91}"/>
    <cellStyle name="Normal 9 2 2 8 2 3" xfId="12887" xr:uid="{0994CA0A-E253-4594-83DC-2BE5A23FF542}"/>
    <cellStyle name="Normal 9 2 2 8 3" xfId="6531" xr:uid="{00000000-0005-0000-0000-0000081F0000}"/>
    <cellStyle name="Normal 9 2 2 8 3 2" xfId="14960" xr:uid="{5DE8A499-8AD4-4A3C-A0E2-034D6AA48635}"/>
    <cellStyle name="Normal 9 2 2 8 4" xfId="10742" xr:uid="{03FFFAF9-1E16-4570-A3BE-74C0B841F304}"/>
    <cellStyle name="Normal 9 2 2 9" xfId="2659" xr:uid="{00000000-0005-0000-0000-0000091F0000}"/>
    <cellStyle name="Normal 9 2 2 9 2" xfId="6944" xr:uid="{00000000-0005-0000-0000-00000A1F0000}"/>
    <cellStyle name="Normal 9 2 2 9 2 2" xfId="15373" xr:uid="{1ADD7841-6E45-4387-8F5C-025BE4911225}"/>
    <cellStyle name="Normal 9 2 2 9 3" xfId="11155" xr:uid="{13849E60-7308-4883-B7C7-A6415ECF78AF}"/>
    <cellStyle name="Normal 9 2 3" xfId="520" xr:uid="{00000000-0005-0000-0000-00000B1F0000}"/>
    <cellStyle name="Normal 9 2 3 10" xfId="9098" xr:uid="{1CC62714-7B0F-4437-9DAB-11E18E9FF9A2}"/>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2 2" xfId="15876" xr:uid="{21465D95-8C55-454C-8A73-69E22FB75B30}"/>
    <cellStyle name="Normal 9 2 3 2 2 2 2 3" xfId="11658" xr:uid="{DB12EAA6-A121-42AC-A889-7E4B025C3701}"/>
    <cellStyle name="Normal 9 2 3 2 2 2 3" xfId="5302" xr:uid="{00000000-0005-0000-0000-0000111F0000}"/>
    <cellStyle name="Normal 9 2 3 2 2 2 3 2" xfId="13731" xr:uid="{5B11DA43-12D6-4C9A-AE51-5DC03942D256}"/>
    <cellStyle name="Normal 9 2 3 2 2 2 4" xfId="9513" xr:uid="{541D72AE-78A3-4158-9AB0-4520E64180FD}"/>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2 2" xfId="16289" xr:uid="{F658022E-1693-480D-97FF-55B17F694242}"/>
    <cellStyle name="Normal 9 2 3 2 2 3 2 3" xfId="12071" xr:uid="{9BF05F77-4DB6-459B-A1AC-F1CC83388FE2}"/>
    <cellStyle name="Normal 9 2 3 2 2 3 3" xfId="5715" xr:uid="{00000000-0005-0000-0000-0000151F0000}"/>
    <cellStyle name="Normal 9 2 3 2 2 3 3 2" xfId="14144" xr:uid="{EFB825CF-84DF-4B51-986F-A9C201CE8F20}"/>
    <cellStyle name="Normal 9 2 3 2 2 3 4" xfId="9926" xr:uid="{E71151E2-501F-49D1-AEDB-502DDC2DB565}"/>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2 2" xfId="16702" xr:uid="{86B65E75-7A57-4BE7-8A99-B33E134ECAC6}"/>
    <cellStyle name="Normal 9 2 3 2 2 4 2 3" xfId="12484" xr:uid="{3D28EBA2-5E72-4579-9649-61124D38EAB3}"/>
    <cellStyle name="Normal 9 2 3 2 2 4 3" xfId="6128" xr:uid="{00000000-0005-0000-0000-0000191F0000}"/>
    <cellStyle name="Normal 9 2 3 2 2 4 3 2" xfId="14557" xr:uid="{B9276EDD-D681-4275-9A4B-20B13969D8DC}"/>
    <cellStyle name="Normal 9 2 3 2 2 4 4" xfId="10339" xr:uid="{DFFCC552-2545-455A-ADC4-9F374EF8DAC9}"/>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2 2" xfId="17115" xr:uid="{16213EB8-0239-4F43-939C-87AA87A5B00E}"/>
    <cellStyle name="Normal 9 2 3 2 2 5 2 3" xfId="12897" xr:uid="{41C36494-7AA5-4113-AB5D-D35BC2FBFDD4}"/>
    <cellStyle name="Normal 9 2 3 2 2 5 3" xfId="6541" xr:uid="{00000000-0005-0000-0000-00001D1F0000}"/>
    <cellStyle name="Normal 9 2 3 2 2 5 3 2" xfId="14970" xr:uid="{36821F03-9C99-46DE-9456-21B864EBCCC0}"/>
    <cellStyle name="Normal 9 2 3 2 2 5 4" xfId="10752" xr:uid="{87D13804-490D-4F8A-BA10-836FE1CA59A1}"/>
    <cellStyle name="Normal 9 2 3 2 2 6" xfId="2669" xr:uid="{00000000-0005-0000-0000-00001E1F0000}"/>
    <cellStyle name="Normal 9 2 3 2 2 6 2" xfId="6954" xr:uid="{00000000-0005-0000-0000-00001F1F0000}"/>
    <cellStyle name="Normal 9 2 3 2 2 6 2 2" xfId="15383" xr:uid="{807D23A5-50E3-4BB3-9CC9-79B66F83FD6D}"/>
    <cellStyle name="Normal 9 2 3 2 2 6 3" xfId="11165" xr:uid="{5BF82C3D-A9CF-4C3D-93F2-E7B228A81980}"/>
    <cellStyle name="Normal 9 2 3 2 2 7" xfId="4889" xr:uid="{00000000-0005-0000-0000-0000201F0000}"/>
    <cellStyle name="Normal 9 2 3 2 2 7 2" xfId="13318" xr:uid="{D9FF7476-0FB3-4769-BA4A-442D4D3BA927}"/>
    <cellStyle name="Normal 9 2 3 2 2 8" xfId="9100" xr:uid="{A3C5FE23-6009-4F8E-BC5E-17CD73A0CA07}"/>
    <cellStyle name="Normal 9 2 3 2 3" xfId="989" xr:uid="{00000000-0005-0000-0000-0000211F0000}"/>
    <cellStyle name="Normal 9 2 3 2 3 2" xfId="3222" xr:uid="{00000000-0005-0000-0000-0000221F0000}"/>
    <cellStyle name="Normal 9 2 3 2 3 2 2" xfId="7446" xr:uid="{00000000-0005-0000-0000-0000231F0000}"/>
    <cellStyle name="Normal 9 2 3 2 3 2 2 2" xfId="15875" xr:uid="{55D65D53-3222-426B-BD73-404BC4196197}"/>
    <cellStyle name="Normal 9 2 3 2 3 2 3" xfId="11657" xr:uid="{65155486-5776-4FD4-8E9C-FFDB6826A208}"/>
    <cellStyle name="Normal 9 2 3 2 3 3" xfId="5301" xr:uid="{00000000-0005-0000-0000-0000241F0000}"/>
    <cellStyle name="Normal 9 2 3 2 3 3 2" xfId="13730" xr:uid="{8D40582B-F557-4A5B-8C99-5CBDBDC31AA3}"/>
    <cellStyle name="Normal 9 2 3 2 3 4" xfId="9512" xr:uid="{09A1D997-CFE0-4C5D-9E10-DD43B9614539}"/>
    <cellStyle name="Normal 9 2 3 2 4" xfId="1405" xr:uid="{00000000-0005-0000-0000-0000251F0000}"/>
    <cellStyle name="Normal 9 2 3 2 4 2" xfId="3635" xr:uid="{00000000-0005-0000-0000-0000261F0000}"/>
    <cellStyle name="Normal 9 2 3 2 4 2 2" xfId="7859" xr:uid="{00000000-0005-0000-0000-0000271F0000}"/>
    <cellStyle name="Normal 9 2 3 2 4 2 2 2" xfId="16288" xr:uid="{05372DD9-DCA3-46B1-8A70-3A029153B51C}"/>
    <cellStyle name="Normal 9 2 3 2 4 2 3" xfId="12070" xr:uid="{B57233F6-DEB4-4F24-902B-B1543104B1A9}"/>
    <cellStyle name="Normal 9 2 3 2 4 3" xfId="5714" xr:uid="{00000000-0005-0000-0000-0000281F0000}"/>
    <cellStyle name="Normal 9 2 3 2 4 3 2" xfId="14143" xr:uid="{C96D0AE4-CC71-4575-94B1-AF4BFC2E6C20}"/>
    <cellStyle name="Normal 9 2 3 2 4 4" xfId="9925" xr:uid="{8FE4D306-9176-4FA9-85FD-FDE75178576E}"/>
    <cellStyle name="Normal 9 2 3 2 5" xfId="1818" xr:uid="{00000000-0005-0000-0000-0000291F0000}"/>
    <cellStyle name="Normal 9 2 3 2 5 2" xfId="4048" xr:uid="{00000000-0005-0000-0000-00002A1F0000}"/>
    <cellStyle name="Normal 9 2 3 2 5 2 2" xfId="8272" xr:uid="{00000000-0005-0000-0000-00002B1F0000}"/>
    <cellStyle name="Normal 9 2 3 2 5 2 2 2" xfId="16701" xr:uid="{83062FC9-CCEA-449D-B906-2E510D4AA9CE}"/>
    <cellStyle name="Normal 9 2 3 2 5 2 3" xfId="12483" xr:uid="{3A783910-7BA6-4DB2-8862-B2B1E71B1749}"/>
    <cellStyle name="Normal 9 2 3 2 5 3" xfId="6127" xr:uid="{00000000-0005-0000-0000-00002C1F0000}"/>
    <cellStyle name="Normal 9 2 3 2 5 3 2" xfId="14556" xr:uid="{4029928E-E23F-4560-9C21-000B353C4832}"/>
    <cellStyle name="Normal 9 2 3 2 5 4" xfId="10338" xr:uid="{7BA5E2B3-9738-4685-94FF-E118AB82BF51}"/>
    <cellStyle name="Normal 9 2 3 2 6" xfId="2232" xr:uid="{00000000-0005-0000-0000-00002D1F0000}"/>
    <cellStyle name="Normal 9 2 3 2 6 2" xfId="4461" xr:uid="{00000000-0005-0000-0000-00002E1F0000}"/>
    <cellStyle name="Normal 9 2 3 2 6 2 2" xfId="8685" xr:uid="{00000000-0005-0000-0000-00002F1F0000}"/>
    <cellStyle name="Normal 9 2 3 2 6 2 2 2" xfId="17114" xr:uid="{C94058A9-1676-4BA5-B9B3-5C1017EFDA4F}"/>
    <cellStyle name="Normal 9 2 3 2 6 2 3" xfId="12896" xr:uid="{3D06F9F9-DF0D-4BD5-A28B-FE0F92148863}"/>
    <cellStyle name="Normal 9 2 3 2 6 3" xfId="6540" xr:uid="{00000000-0005-0000-0000-0000301F0000}"/>
    <cellStyle name="Normal 9 2 3 2 6 3 2" xfId="14969" xr:uid="{EA656A4A-DFAA-410C-A3B9-111EF1B9F0BF}"/>
    <cellStyle name="Normal 9 2 3 2 6 4" xfId="10751" xr:uid="{7F43BDF0-F029-4CA8-AEC6-C9CBD21CA8E4}"/>
    <cellStyle name="Normal 9 2 3 2 7" xfId="2668" xr:uid="{00000000-0005-0000-0000-0000311F0000}"/>
    <cellStyle name="Normal 9 2 3 2 7 2" xfId="6953" xr:uid="{00000000-0005-0000-0000-0000321F0000}"/>
    <cellStyle name="Normal 9 2 3 2 7 2 2" xfId="15382" xr:uid="{31084D7D-B6C2-4A19-B448-C686594AFEFC}"/>
    <cellStyle name="Normal 9 2 3 2 7 3" xfId="11164" xr:uid="{C7919771-127B-4AA6-89BD-5D6EE92E427C}"/>
    <cellStyle name="Normal 9 2 3 2 8" xfId="4888" xr:uid="{00000000-0005-0000-0000-0000331F0000}"/>
    <cellStyle name="Normal 9 2 3 2 8 2" xfId="13317" xr:uid="{9F660CCA-9995-40EB-89F8-27AA72374127}"/>
    <cellStyle name="Normal 9 2 3 2 9" xfId="9099" xr:uid="{C56F2550-F4FC-458D-8463-CA9D33BBDA2D}"/>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2 2" xfId="15877" xr:uid="{56301509-6DDB-4C4D-87E9-3DFC0E3C6C29}"/>
    <cellStyle name="Normal 9 2 3 3 2 2 3" xfId="11659" xr:uid="{7A30D765-6FCF-4AFE-BEF3-49F11EEE7B37}"/>
    <cellStyle name="Normal 9 2 3 3 2 3" xfId="5303" xr:uid="{00000000-0005-0000-0000-0000381F0000}"/>
    <cellStyle name="Normal 9 2 3 3 2 3 2" xfId="13732" xr:uid="{6D64671B-5D71-475F-BC76-2505459F473C}"/>
    <cellStyle name="Normal 9 2 3 3 2 4" xfId="9514" xr:uid="{A3D3C1E6-EA92-4CB9-AC80-39AF45C91759}"/>
    <cellStyle name="Normal 9 2 3 3 3" xfId="1407" xr:uid="{00000000-0005-0000-0000-0000391F0000}"/>
    <cellStyle name="Normal 9 2 3 3 3 2" xfId="3637" xr:uid="{00000000-0005-0000-0000-00003A1F0000}"/>
    <cellStyle name="Normal 9 2 3 3 3 2 2" xfId="7861" xr:uid="{00000000-0005-0000-0000-00003B1F0000}"/>
    <cellStyle name="Normal 9 2 3 3 3 2 2 2" xfId="16290" xr:uid="{4AE6B24E-3DBF-4FFB-AE69-54ACBE66331E}"/>
    <cellStyle name="Normal 9 2 3 3 3 2 3" xfId="12072" xr:uid="{5E76C02D-F75C-4422-9280-D74AE2CC1EB7}"/>
    <cellStyle name="Normal 9 2 3 3 3 3" xfId="5716" xr:uid="{00000000-0005-0000-0000-00003C1F0000}"/>
    <cellStyle name="Normal 9 2 3 3 3 3 2" xfId="14145" xr:uid="{CFE89D20-5ABA-4954-B304-BFF403AAB808}"/>
    <cellStyle name="Normal 9 2 3 3 3 4" xfId="9927" xr:uid="{432E3BE0-6D02-42C1-BBD6-3944CC798874}"/>
    <cellStyle name="Normal 9 2 3 3 4" xfId="1820" xr:uid="{00000000-0005-0000-0000-00003D1F0000}"/>
    <cellStyle name="Normal 9 2 3 3 4 2" xfId="4050" xr:uid="{00000000-0005-0000-0000-00003E1F0000}"/>
    <cellStyle name="Normal 9 2 3 3 4 2 2" xfId="8274" xr:uid="{00000000-0005-0000-0000-00003F1F0000}"/>
    <cellStyle name="Normal 9 2 3 3 4 2 2 2" xfId="16703" xr:uid="{A5BA1029-0104-4017-9A0F-540B0C045668}"/>
    <cellStyle name="Normal 9 2 3 3 4 2 3" xfId="12485" xr:uid="{2B50BC71-F55B-46E6-B06D-FA1C4F138D90}"/>
    <cellStyle name="Normal 9 2 3 3 4 3" xfId="6129" xr:uid="{00000000-0005-0000-0000-0000401F0000}"/>
    <cellStyle name="Normal 9 2 3 3 4 3 2" xfId="14558" xr:uid="{CA5E4890-CE93-4C37-961B-1FDCAEC7FFFF}"/>
    <cellStyle name="Normal 9 2 3 3 4 4" xfId="10340" xr:uid="{4D6AA8D7-6749-49BF-B802-A4948AECA58C}"/>
    <cellStyle name="Normal 9 2 3 3 5" xfId="2234" xr:uid="{00000000-0005-0000-0000-0000411F0000}"/>
    <cellStyle name="Normal 9 2 3 3 5 2" xfId="4463" xr:uid="{00000000-0005-0000-0000-0000421F0000}"/>
    <cellStyle name="Normal 9 2 3 3 5 2 2" xfId="8687" xr:uid="{00000000-0005-0000-0000-0000431F0000}"/>
    <cellStyle name="Normal 9 2 3 3 5 2 2 2" xfId="17116" xr:uid="{FC2A9750-20F0-4BC2-815C-988BA2150989}"/>
    <cellStyle name="Normal 9 2 3 3 5 2 3" xfId="12898" xr:uid="{E6920FFB-BEC8-46E5-8002-3654840F18B4}"/>
    <cellStyle name="Normal 9 2 3 3 5 3" xfId="6542" xr:uid="{00000000-0005-0000-0000-0000441F0000}"/>
    <cellStyle name="Normal 9 2 3 3 5 3 2" xfId="14971" xr:uid="{0D106371-0523-424D-BF44-EA9A4F1707B7}"/>
    <cellStyle name="Normal 9 2 3 3 5 4" xfId="10753" xr:uid="{40E98152-D6C2-43FC-ADC9-C9F2168917B7}"/>
    <cellStyle name="Normal 9 2 3 3 6" xfId="2670" xr:uid="{00000000-0005-0000-0000-0000451F0000}"/>
    <cellStyle name="Normal 9 2 3 3 6 2" xfId="6955" xr:uid="{00000000-0005-0000-0000-0000461F0000}"/>
    <cellStyle name="Normal 9 2 3 3 6 2 2" xfId="15384" xr:uid="{42058B76-4FA6-469D-9985-58E1C1A6BE1D}"/>
    <cellStyle name="Normal 9 2 3 3 6 3" xfId="11166" xr:uid="{B537F872-712F-4CE0-BC6A-51BD3D8F4DD6}"/>
    <cellStyle name="Normal 9 2 3 3 7" xfId="4890" xr:uid="{00000000-0005-0000-0000-0000471F0000}"/>
    <cellStyle name="Normal 9 2 3 3 7 2" xfId="13319" xr:uid="{7C4B8539-7BDE-4D6C-A53A-F15BE7A320D8}"/>
    <cellStyle name="Normal 9 2 3 3 8" xfId="9101" xr:uid="{5F86FB9C-F0F7-4B11-B05A-DFF3A7DB60F8}"/>
    <cellStyle name="Normal 9 2 3 4" xfId="988" xr:uid="{00000000-0005-0000-0000-0000481F0000}"/>
    <cellStyle name="Normal 9 2 3 4 2" xfId="3221" xr:uid="{00000000-0005-0000-0000-0000491F0000}"/>
    <cellStyle name="Normal 9 2 3 4 2 2" xfId="7445" xr:uid="{00000000-0005-0000-0000-00004A1F0000}"/>
    <cellStyle name="Normal 9 2 3 4 2 2 2" xfId="15874" xr:uid="{3472E443-632B-4BC5-8368-7667C5F24352}"/>
    <cellStyle name="Normal 9 2 3 4 2 3" xfId="11656" xr:uid="{6AC668C9-C11F-47F5-A174-67B94ACC49AB}"/>
    <cellStyle name="Normal 9 2 3 4 3" xfId="5300" xr:uid="{00000000-0005-0000-0000-00004B1F0000}"/>
    <cellStyle name="Normal 9 2 3 4 3 2" xfId="13729" xr:uid="{D5162DA2-1D03-4684-9C89-519847D337AE}"/>
    <cellStyle name="Normal 9 2 3 4 4" xfId="9511" xr:uid="{2E9A3BC8-E676-44B7-988A-0458210610CF}"/>
    <cellStyle name="Normal 9 2 3 5" xfId="1404" xr:uid="{00000000-0005-0000-0000-00004C1F0000}"/>
    <cellStyle name="Normal 9 2 3 5 2" xfId="3634" xr:uid="{00000000-0005-0000-0000-00004D1F0000}"/>
    <cellStyle name="Normal 9 2 3 5 2 2" xfId="7858" xr:uid="{00000000-0005-0000-0000-00004E1F0000}"/>
    <cellStyle name="Normal 9 2 3 5 2 2 2" xfId="16287" xr:uid="{7D34FE8B-3133-483C-ACBC-C6CE37D706D9}"/>
    <cellStyle name="Normal 9 2 3 5 2 3" xfId="12069" xr:uid="{03AB7527-3763-4604-ABCA-412DE7961DC8}"/>
    <cellStyle name="Normal 9 2 3 5 3" xfId="5713" xr:uid="{00000000-0005-0000-0000-00004F1F0000}"/>
    <cellStyle name="Normal 9 2 3 5 3 2" xfId="14142" xr:uid="{55388F0F-57BA-4341-8D31-558C33DF0AF8}"/>
    <cellStyle name="Normal 9 2 3 5 4" xfId="9924" xr:uid="{0DDFE7DE-0A3C-4EBA-B2DE-FC84E0F1C75C}"/>
    <cellStyle name="Normal 9 2 3 6" xfId="1817" xr:uid="{00000000-0005-0000-0000-0000501F0000}"/>
    <cellStyle name="Normal 9 2 3 6 2" xfId="4047" xr:uid="{00000000-0005-0000-0000-0000511F0000}"/>
    <cellStyle name="Normal 9 2 3 6 2 2" xfId="8271" xr:uid="{00000000-0005-0000-0000-0000521F0000}"/>
    <cellStyle name="Normal 9 2 3 6 2 2 2" xfId="16700" xr:uid="{A45499E8-D327-4222-A781-E491B28C96D7}"/>
    <cellStyle name="Normal 9 2 3 6 2 3" xfId="12482" xr:uid="{EF675A1E-FA26-412D-9A11-E3A4B67823F9}"/>
    <cellStyle name="Normal 9 2 3 6 3" xfId="6126" xr:uid="{00000000-0005-0000-0000-0000531F0000}"/>
    <cellStyle name="Normal 9 2 3 6 3 2" xfId="14555" xr:uid="{2F6C0C74-E512-46AA-B8AE-F36330B04BBE}"/>
    <cellStyle name="Normal 9 2 3 6 4" xfId="10337" xr:uid="{92DFE851-3C1C-4029-AEF6-3E0CA7009877}"/>
    <cellStyle name="Normal 9 2 3 7" xfId="2231" xr:uid="{00000000-0005-0000-0000-0000541F0000}"/>
    <cellStyle name="Normal 9 2 3 7 2" xfId="4460" xr:uid="{00000000-0005-0000-0000-0000551F0000}"/>
    <cellStyle name="Normal 9 2 3 7 2 2" xfId="8684" xr:uid="{00000000-0005-0000-0000-0000561F0000}"/>
    <cellStyle name="Normal 9 2 3 7 2 2 2" xfId="17113" xr:uid="{CF3F76E0-6109-4DFE-B5C3-5DA84C402E28}"/>
    <cellStyle name="Normal 9 2 3 7 2 3" xfId="12895" xr:uid="{AA6549F0-17C2-4754-923D-9B95678762AD}"/>
    <cellStyle name="Normal 9 2 3 7 3" xfId="6539" xr:uid="{00000000-0005-0000-0000-0000571F0000}"/>
    <cellStyle name="Normal 9 2 3 7 3 2" xfId="14968" xr:uid="{C2B80781-8B39-4F84-9B47-EC92318ECBE2}"/>
    <cellStyle name="Normal 9 2 3 7 4" xfId="10750" xr:uid="{77A11408-BCF8-4204-9FBF-D0463167777D}"/>
    <cellStyle name="Normal 9 2 3 8" xfId="2667" xr:uid="{00000000-0005-0000-0000-0000581F0000}"/>
    <cellStyle name="Normal 9 2 3 8 2" xfId="6952" xr:uid="{00000000-0005-0000-0000-0000591F0000}"/>
    <cellStyle name="Normal 9 2 3 8 2 2" xfId="15381" xr:uid="{B500E20D-6330-444D-8234-C8767D56D6B4}"/>
    <cellStyle name="Normal 9 2 3 8 3" xfId="11163" xr:uid="{DB843220-B0BF-46C3-B890-6D39F82AE172}"/>
    <cellStyle name="Normal 9 2 3 9" xfId="4887" xr:uid="{00000000-0005-0000-0000-00005A1F0000}"/>
    <cellStyle name="Normal 9 2 3 9 2" xfId="13316" xr:uid="{D047E898-942A-409D-BA8F-F90681BB2F9B}"/>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2 2" xfId="15879" xr:uid="{2616A88D-00D7-435C-939F-1AC4937BCEF6}"/>
    <cellStyle name="Normal 9 2 4 2 2 2 3" xfId="11661" xr:uid="{47E6E9A7-D3FD-4326-83DB-98E92E530F67}"/>
    <cellStyle name="Normal 9 2 4 2 2 3" xfId="5305" xr:uid="{00000000-0005-0000-0000-0000601F0000}"/>
    <cellStyle name="Normal 9 2 4 2 2 3 2" xfId="13734" xr:uid="{06EC074B-06A6-4EBA-8BF1-6DF9E03A119D}"/>
    <cellStyle name="Normal 9 2 4 2 2 4" xfId="9516" xr:uid="{367D56A7-7002-4968-89D1-4C434E2EDF58}"/>
    <cellStyle name="Normal 9 2 4 2 3" xfId="1409" xr:uid="{00000000-0005-0000-0000-0000611F0000}"/>
    <cellStyle name="Normal 9 2 4 2 3 2" xfId="3639" xr:uid="{00000000-0005-0000-0000-0000621F0000}"/>
    <cellStyle name="Normal 9 2 4 2 3 2 2" xfId="7863" xr:uid="{00000000-0005-0000-0000-0000631F0000}"/>
    <cellStyle name="Normal 9 2 4 2 3 2 2 2" xfId="16292" xr:uid="{38BA5CDD-BA19-422B-9F7F-BF83EA703486}"/>
    <cellStyle name="Normal 9 2 4 2 3 2 3" xfId="12074" xr:uid="{1B014DB9-658D-4CD8-9142-419466D23EF6}"/>
    <cellStyle name="Normal 9 2 4 2 3 3" xfId="5718" xr:uid="{00000000-0005-0000-0000-0000641F0000}"/>
    <cellStyle name="Normal 9 2 4 2 3 3 2" xfId="14147" xr:uid="{5B5F8050-163B-46BB-8B4D-99CBC7EAF743}"/>
    <cellStyle name="Normal 9 2 4 2 3 4" xfId="9929" xr:uid="{D10411A1-2BC6-45C2-A510-60E9CE774489}"/>
    <cellStyle name="Normal 9 2 4 2 4" xfId="1822" xr:uid="{00000000-0005-0000-0000-0000651F0000}"/>
    <cellStyle name="Normal 9 2 4 2 4 2" xfId="4052" xr:uid="{00000000-0005-0000-0000-0000661F0000}"/>
    <cellStyle name="Normal 9 2 4 2 4 2 2" xfId="8276" xr:uid="{00000000-0005-0000-0000-0000671F0000}"/>
    <cellStyle name="Normal 9 2 4 2 4 2 2 2" xfId="16705" xr:uid="{9039057F-0148-4276-BA74-1ABBF7A04F45}"/>
    <cellStyle name="Normal 9 2 4 2 4 2 3" xfId="12487" xr:uid="{FDF9DA39-C302-4945-9B72-D619D30EDB23}"/>
    <cellStyle name="Normal 9 2 4 2 4 3" xfId="6131" xr:uid="{00000000-0005-0000-0000-0000681F0000}"/>
    <cellStyle name="Normal 9 2 4 2 4 3 2" xfId="14560" xr:uid="{EC4102C2-069D-4C4D-9F23-676BEC06B1DD}"/>
    <cellStyle name="Normal 9 2 4 2 4 4" xfId="10342" xr:uid="{7D02C8A4-2446-451F-B2C3-0C2F62E3304B}"/>
    <cellStyle name="Normal 9 2 4 2 5" xfId="2236" xr:uid="{00000000-0005-0000-0000-0000691F0000}"/>
    <cellStyle name="Normal 9 2 4 2 5 2" xfId="4465" xr:uid="{00000000-0005-0000-0000-00006A1F0000}"/>
    <cellStyle name="Normal 9 2 4 2 5 2 2" xfId="8689" xr:uid="{00000000-0005-0000-0000-00006B1F0000}"/>
    <cellStyle name="Normal 9 2 4 2 5 2 2 2" xfId="17118" xr:uid="{C008BE61-96EE-4614-925C-370D72AA4AA7}"/>
    <cellStyle name="Normal 9 2 4 2 5 2 3" xfId="12900" xr:uid="{7213D10A-EA95-4799-BF16-099B8D2D2AB5}"/>
    <cellStyle name="Normal 9 2 4 2 5 3" xfId="6544" xr:uid="{00000000-0005-0000-0000-00006C1F0000}"/>
    <cellStyle name="Normal 9 2 4 2 5 3 2" xfId="14973" xr:uid="{18FB61B5-BF4C-4E54-A11E-BE3CE40432EF}"/>
    <cellStyle name="Normal 9 2 4 2 5 4" xfId="10755" xr:uid="{B1BDD33F-C0A2-45B7-BA15-74F926AC6BCB}"/>
    <cellStyle name="Normal 9 2 4 2 6" xfId="2672" xr:uid="{00000000-0005-0000-0000-00006D1F0000}"/>
    <cellStyle name="Normal 9 2 4 2 6 2" xfId="6957" xr:uid="{00000000-0005-0000-0000-00006E1F0000}"/>
    <cellStyle name="Normal 9 2 4 2 6 2 2" xfId="15386" xr:uid="{537B41E1-D990-4944-82AF-1CFF010E5DDD}"/>
    <cellStyle name="Normal 9 2 4 2 6 3" xfId="11168" xr:uid="{AA6E612F-A639-4B99-8562-A5C07682446F}"/>
    <cellStyle name="Normal 9 2 4 2 7" xfId="4892" xr:uid="{00000000-0005-0000-0000-00006F1F0000}"/>
    <cellStyle name="Normal 9 2 4 2 7 2" xfId="13321" xr:uid="{D6A908E0-EC1A-4D6A-92AA-A9F16AA8389F}"/>
    <cellStyle name="Normal 9 2 4 2 8" xfId="9103" xr:uid="{FACE5872-4DBB-40C4-A8C8-D0DF8EADEE94}"/>
    <cellStyle name="Normal 9 2 4 3" xfId="992" xr:uid="{00000000-0005-0000-0000-0000701F0000}"/>
    <cellStyle name="Normal 9 2 4 3 2" xfId="3225" xr:uid="{00000000-0005-0000-0000-0000711F0000}"/>
    <cellStyle name="Normal 9 2 4 3 2 2" xfId="7449" xr:uid="{00000000-0005-0000-0000-0000721F0000}"/>
    <cellStyle name="Normal 9 2 4 3 2 2 2" xfId="15878" xr:uid="{8FB2A308-69C4-435F-84F9-1A580F117B66}"/>
    <cellStyle name="Normal 9 2 4 3 2 3" xfId="11660" xr:uid="{B4A25C9D-3457-4751-A647-C0EA5C07ACAA}"/>
    <cellStyle name="Normal 9 2 4 3 3" xfId="5304" xr:uid="{00000000-0005-0000-0000-0000731F0000}"/>
    <cellStyle name="Normal 9 2 4 3 3 2" xfId="13733" xr:uid="{6F0D3816-F8FB-4C2E-9503-5F810B29ECCF}"/>
    <cellStyle name="Normal 9 2 4 3 4" xfId="9515" xr:uid="{3F251ED3-9F29-4A10-98D3-E3982E8A9D0E}"/>
    <cellStyle name="Normal 9 2 4 4" xfId="1408" xr:uid="{00000000-0005-0000-0000-0000741F0000}"/>
    <cellStyle name="Normal 9 2 4 4 2" xfId="3638" xr:uid="{00000000-0005-0000-0000-0000751F0000}"/>
    <cellStyle name="Normal 9 2 4 4 2 2" xfId="7862" xr:uid="{00000000-0005-0000-0000-0000761F0000}"/>
    <cellStyle name="Normal 9 2 4 4 2 2 2" xfId="16291" xr:uid="{DF5AC68E-BBA2-40B1-9089-4A766D7853D7}"/>
    <cellStyle name="Normal 9 2 4 4 2 3" xfId="12073" xr:uid="{67A66DFD-CA09-494E-82C8-659866293C43}"/>
    <cellStyle name="Normal 9 2 4 4 3" xfId="5717" xr:uid="{00000000-0005-0000-0000-0000771F0000}"/>
    <cellStyle name="Normal 9 2 4 4 3 2" xfId="14146" xr:uid="{4EB647FE-864F-43E3-90B0-5AC1F04F3662}"/>
    <cellStyle name="Normal 9 2 4 4 4" xfId="9928" xr:uid="{B79C8D97-E02A-4658-AD6E-AD41EC0B6FC3}"/>
    <cellStyle name="Normal 9 2 4 5" xfId="1821" xr:uid="{00000000-0005-0000-0000-0000781F0000}"/>
    <cellStyle name="Normal 9 2 4 5 2" xfId="4051" xr:uid="{00000000-0005-0000-0000-0000791F0000}"/>
    <cellStyle name="Normal 9 2 4 5 2 2" xfId="8275" xr:uid="{00000000-0005-0000-0000-00007A1F0000}"/>
    <cellStyle name="Normal 9 2 4 5 2 2 2" xfId="16704" xr:uid="{0FC3548F-1B9A-45B3-B5CA-4976938C87EA}"/>
    <cellStyle name="Normal 9 2 4 5 2 3" xfId="12486" xr:uid="{62D4AEDF-F347-4B52-913E-A08FFB34ED47}"/>
    <cellStyle name="Normal 9 2 4 5 3" xfId="6130" xr:uid="{00000000-0005-0000-0000-00007B1F0000}"/>
    <cellStyle name="Normal 9 2 4 5 3 2" xfId="14559" xr:uid="{034D7DE0-1E5D-484B-B7C0-D78AEFA1076E}"/>
    <cellStyle name="Normal 9 2 4 5 4" xfId="10341" xr:uid="{63D18229-93C8-40E2-93C2-598EE8FD6AE5}"/>
    <cellStyle name="Normal 9 2 4 6" xfId="2235" xr:uid="{00000000-0005-0000-0000-00007C1F0000}"/>
    <cellStyle name="Normal 9 2 4 6 2" xfId="4464" xr:uid="{00000000-0005-0000-0000-00007D1F0000}"/>
    <cellStyle name="Normal 9 2 4 6 2 2" xfId="8688" xr:uid="{00000000-0005-0000-0000-00007E1F0000}"/>
    <cellStyle name="Normal 9 2 4 6 2 2 2" xfId="17117" xr:uid="{C9A180A3-0687-4C08-BA2E-CC0FC8456D78}"/>
    <cellStyle name="Normal 9 2 4 6 2 3" xfId="12899" xr:uid="{1FD4FB63-335C-4C92-8AF6-EFF3B7670465}"/>
    <cellStyle name="Normal 9 2 4 6 3" xfId="6543" xr:uid="{00000000-0005-0000-0000-00007F1F0000}"/>
    <cellStyle name="Normal 9 2 4 6 3 2" xfId="14972" xr:uid="{A6885654-8DBA-4B31-A834-FBC1265666C5}"/>
    <cellStyle name="Normal 9 2 4 6 4" xfId="10754" xr:uid="{8568FEFA-F4D4-4FB5-9DF7-BD35CE8CD0E6}"/>
    <cellStyle name="Normal 9 2 4 7" xfId="2671" xr:uid="{00000000-0005-0000-0000-0000801F0000}"/>
    <cellStyle name="Normal 9 2 4 7 2" xfId="6956" xr:uid="{00000000-0005-0000-0000-0000811F0000}"/>
    <cellStyle name="Normal 9 2 4 7 2 2" xfId="15385" xr:uid="{1772EB8A-856D-4893-BCD0-A05F9929F92E}"/>
    <cellStyle name="Normal 9 2 4 7 3" xfId="11167" xr:uid="{B6971A20-3F51-435F-941F-2AF137FD6B56}"/>
    <cellStyle name="Normal 9 2 4 8" xfId="4891" xr:uid="{00000000-0005-0000-0000-0000821F0000}"/>
    <cellStyle name="Normal 9 2 4 8 2" xfId="13320" xr:uid="{1AF3A114-BB22-44F5-B128-BE0A6136D083}"/>
    <cellStyle name="Normal 9 2 4 9" xfId="9102" xr:uid="{AEEFBA7F-0F77-4A3C-AA94-5838066C4461}"/>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2 2" xfId="15880" xr:uid="{2D50F02F-DDF6-4CC1-9DB8-17BE3D8EAF11}"/>
    <cellStyle name="Normal 9 2 5 2 2 3" xfId="11662" xr:uid="{FDAE5BAD-5D54-4023-8E8C-32E958077107}"/>
    <cellStyle name="Normal 9 2 5 2 3" xfId="5306" xr:uid="{00000000-0005-0000-0000-0000871F0000}"/>
    <cellStyle name="Normal 9 2 5 2 3 2" xfId="13735" xr:uid="{FE444903-2036-4359-ACAE-5ADC39248D19}"/>
    <cellStyle name="Normal 9 2 5 2 4" xfId="9517" xr:uid="{18FC8B47-1C67-4AFB-BBFB-E026BDEB5FBA}"/>
    <cellStyle name="Normal 9 2 5 3" xfId="1410" xr:uid="{00000000-0005-0000-0000-0000881F0000}"/>
    <cellStyle name="Normal 9 2 5 3 2" xfId="3640" xr:uid="{00000000-0005-0000-0000-0000891F0000}"/>
    <cellStyle name="Normal 9 2 5 3 2 2" xfId="7864" xr:uid="{00000000-0005-0000-0000-00008A1F0000}"/>
    <cellStyle name="Normal 9 2 5 3 2 2 2" xfId="16293" xr:uid="{EEA2F7DC-FB36-44DE-AF4E-09ED5BD349CE}"/>
    <cellStyle name="Normal 9 2 5 3 2 3" xfId="12075" xr:uid="{8E928FD8-14C2-4794-9647-D4C6547B0C3E}"/>
    <cellStyle name="Normal 9 2 5 3 3" xfId="5719" xr:uid="{00000000-0005-0000-0000-00008B1F0000}"/>
    <cellStyle name="Normal 9 2 5 3 3 2" xfId="14148" xr:uid="{0F70EB9F-B91D-427E-973E-2936EB83FFA1}"/>
    <cellStyle name="Normal 9 2 5 3 4" xfId="9930" xr:uid="{B7D1547E-1BCB-4399-A1CE-38E416870D27}"/>
    <cellStyle name="Normal 9 2 5 4" xfId="1823" xr:uid="{00000000-0005-0000-0000-00008C1F0000}"/>
    <cellStyle name="Normal 9 2 5 4 2" xfId="4053" xr:uid="{00000000-0005-0000-0000-00008D1F0000}"/>
    <cellStyle name="Normal 9 2 5 4 2 2" xfId="8277" xr:uid="{00000000-0005-0000-0000-00008E1F0000}"/>
    <cellStyle name="Normal 9 2 5 4 2 2 2" xfId="16706" xr:uid="{947F639D-9A69-4D3A-B51C-78C060C46EE8}"/>
    <cellStyle name="Normal 9 2 5 4 2 3" xfId="12488" xr:uid="{414FAA45-1922-45AB-B63F-1660EB1F16E2}"/>
    <cellStyle name="Normal 9 2 5 4 3" xfId="6132" xr:uid="{00000000-0005-0000-0000-00008F1F0000}"/>
    <cellStyle name="Normal 9 2 5 4 3 2" xfId="14561" xr:uid="{4342EE63-A098-4D3F-AC3A-191ED84B249B}"/>
    <cellStyle name="Normal 9 2 5 4 4" xfId="10343" xr:uid="{51C1398E-7C76-4F3D-AD7C-D63507A3D7C0}"/>
    <cellStyle name="Normal 9 2 5 5" xfId="2237" xr:uid="{00000000-0005-0000-0000-0000901F0000}"/>
    <cellStyle name="Normal 9 2 5 5 2" xfId="4466" xr:uid="{00000000-0005-0000-0000-0000911F0000}"/>
    <cellStyle name="Normal 9 2 5 5 2 2" xfId="8690" xr:uid="{00000000-0005-0000-0000-0000921F0000}"/>
    <cellStyle name="Normal 9 2 5 5 2 2 2" xfId="17119" xr:uid="{F25876AE-13B1-4C61-80B9-32F7334685E0}"/>
    <cellStyle name="Normal 9 2 5 5 2 3" xfId="12901" xr:uid="{EA0AE119-CC01-4B3E-B156-FBB60D1EE29C}"/>
    <cellStyle name="Normal 9 2 5 5 3" xfId="6545" xr:uid="{00000000-0005-0000-0000-0000931F0000}"/>
    <cellStyle name="Normal 9 2 5 5 3 2" xfId="14974" xr:uid="{12BCD1E7-2E8A-4F14-8417-52CFB8AEEDC5}"/>
    <cellStyle name="Normal 9 2 5 5 4" xfId="10756" xr:uid="{3BA83097-7F5F-4026-BE30-E31FF183DE4F}"/>
    <cellStyle name="Normal 9 2 5 6" xfId="2673" xr:uid="{00000000-0005-0000-0000-0000941F0000}"/>
    <cellStyle name="Normal 9 2 5 6 2" xfId="6958" xr:uid="{00000000-0005-0000-0000-0000951F0000}"/>
    <cellStyle name="Normal 9 2 5 6 2 2" xfId="15387" xr:uid="{8B844EC4-B1C2-4254-89DE-CE7532242B0C}"/>
    <cellStyle name="Normal 9 2 5 6 3" xfId="11169" xr:uid="{AC44E99C-650D-48F8-BA2D-72F2D86A6360}"/>
    <cellStyle name="Normal 9 2 5 7" xfId="4893" xr:uid="{00000000-0005-0000-0000-0000961F0000}"/>
    <cellStyle name="Normal 9 2 5 7 2" xfId="13322" xr:uid="{C0CC5715-AAF3-416C-A17E-3B24538ED699}"/>
    <cellStyle name="Normal 9 2 5 8" xfId="9104" xr:uid="{AA8A5D4F-91DC-4586-85D1-FC91F113216D}"/>
    <cellStyle name="Normal 9 2 6" xfId="979" xr:uid="{00000000-0005-0000-0000-0000971F0000}"/>
    <cellStyle name="Normal 9 2 6 2" xfId="3212" xr:uid="{00000000-0005-0000-0000-0000981F0000}"/>
    <cellStyle name="Normal 9 2 6 2 2" xfId="7436" xr:uid="{00000000-0005-0000-0000-0000991F0000}"/>
    <cellStyle name="Normal 9 2 6 2 2 2" xfId="15865" xr:uid="{900510CF-C993-43DA-A2EA-8E7B52D4AF61}"/>
    <cellStyle name="Normal 9 2 6 2 3" xfId="11647" xr:uid="{4C8478E1-7E5D-433F-B97F-358180B1E4F7}"/>
    <cellStyle name="Normal 9 2 6 3" xfId="5291" xr:uid="{00000000-0005-0000-0000-00009A1F0000}"/>
    <cellStyle name="Normal 9 2 6 3 2" xfId="13720" xr:uid="{7E2BCFB3-1AFB-4509-BEFF-63D328AF1C11}"/>
    <cellStyle name="Normal 9 2 6 4" xfId="9502" xr:uid="{6D1F0370-18BA-4AAF-9AD8-22CC15121F32}"/>
    <cellStyle name="Normal 9 2 7" xfId="1395" xr:uid="{00000000-0005-0000-0000-00009B1F0000}"/>
    <cellStyle name="Normal 9 2 7 2" xfId="3625" xr:uid="{00000000-0005-0000-0000-00009C1F0000}"/>
    <cellStyle name="Normal 9 2 7 2 2" xfId="7849" xr:uid="{00000000-0005-0000-0000-00009D1F0000}"/>
    <cellStyle name="Normal 9 2 7 2 2 2" xfId="16278" xr:uid="{00F1EE6F-B8E2-4AEF-BB91-4A2378008DA1}"/>
    <cellStyle name="Normal 9 2 7 2 3" xfId="12060" xr:uid="{4BD59EDB-09ED-4AD3-A3CD-FB60522A555D}"/>
    <cellStyle name="Normal 9 2 7 3" xfId="5704" xr:uid="{00000000-0005-0000-0000-00009E1F0000}"/>
    <cellStyle name="Normal 9 2 7 3 2" xfId="14133" xr:uid="{EE6B93E0-828E-4A00-98EE-1316FABE954F}"/>
    <cellStyle name="Normal 9 2 7 4" xfId="9915" xr:uid="{969F21F3-1CBB-4709-8BB3-ED49E0C3DAD8}"/>
    <cellStyle name="Normal 9 2 8" xfId="1808" xr:uid="{00000000-0005-0000-0000-00009F1F0000}"/>
    <cellStyle name="Normal 9 2 8 2" xfId="4038" xr:uid="{00000000-0005-0000-0000-0000A01F0000}"/>
    <cellStyle name="Normal 9 2 8 2 2" xfId="8262" xr:uid="{00000000-0005-0000-0000-0000A11F0000}"/>
    <cellStyle name="Normal 9 2 8 2 2 2" xfId="16691" xr:uid="{5D4D444D-0B46-4C6E-86E2-AA00D3190A46}"/>
    <cellStyle name="Normal 9 2 8 2 3" xfId="12473" xr:uid="{AC8732D6-645D-44B9-981F-01F488A8961C}"/>
    <cellStyle name="Normal 9 2 8 3" xfId="6117" xr:uid="{00000000-0005-0000-0000-0000A21F0000}"/>
    <cellStyle name="Normal 9 2 8 3 2" xfId="14546" xr:uid="{CECEFB32-C1BE-48AE-96BE-73CF6890A0AB}"/>
    <cellStyle name="Normal 9 2 8 4" xfId="10328" xr:uid="{26AAEEE7-A54B-4A8D-889A-66A218219A5A}"/>
    <cellStyle name="Normal 9 2 9" xfId="2222" xr:uid="{00000000-0005-0000-0000-0000A31F0000}"/>
    <cellStyle name="Normal 9 2 9 2" xfId="4451" xr:uid="{00000000-0005-0000-0000-0000A41F0000}"/>
    <cellStyle name="Normal 9 2 9 2 2" xfId="8675" xr:uid="{00000000-0005-0000-0000-0000A51F0000}"/>
    <cellStyle name="Normal 9 2 9 2 2 2" xfId="17104" xr:uid="{5DC7A758-AC99-4BB3-BF70-30B92DAD7598}"/>
    <cellStyle name="Normal 9 2 9 2 3" xfId="12886" xr:uid="{EA40203E-35CF-4766-83E8-DDD32769EF08}"/>
    <cellStyle name="Normal 9 2 9 3" xfId="6530" xr:uid="{00000000-0005-0000-0000-0000A61F0000}"/>
    <cellStyle name="Normal 9 2 9 3 2" xfId="14959" xr:uid="{C50BEB47-971B-436B-9DA4-E4AF8492EB21}"/>
    <cellStyle name="Normal 9 2 9 4" xfId="10741" xr:uid="{8CB24CE6-6754-4934-872C-4846987DBD4B}"/>
    <cellStyle name="Normal 9 3" xfId="527" xr:uid="{00000000-0005-0000-0000-0000A71F0000}"/>
    <cellStyle name="Normal 9 3 10" xfId="4894" xr:uid="{00000000-0005-0000-0000-0000A81F0000}"/>
    <cellStyle name="Normal 9 3 10 2" xfId="13323" xr:uid="{0134700F-B91D-48A9-B0A5-D21F39E405DD}"/>
    <cellStyle name="Normal 9 3 11" xfId="9105" xr:uid="{C6C53711-8F06-41B6-AB7F-17BDB85452A3}"/>
    <cellStyle name="Normal 9 3 2" xfId="528" xr:uid="{00000000-0005-0000-0000-0000A91F0000}"/>
    <cellStyle name="Normal 9 3 2 10" xfId="9106" xr:uid="{C30EEF7D-3759-4590-AF5C-F23ACF61DE49}"/>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2 2" xfId="15884" xr:uid="{BFB35804-BABF-45C8-BE88-81B648A4B6E4}"/>
    <cellStyle name="Normal 9 3 2 2 2 2 2 3" xfId="11666" xr:uid="{6EB6533D-8ADE-443A-9BE0-E5FD95F65C43}"/>
    <cellStyle name="Normal 9 3 2 2 2 2 3" xfId="5310" xr:uid="{00000000-0005-0000-0000-0000AF1F0000}"/>
    <cellStyle name="Normal 9 3 2 2 2 2 3 2" xfId="13739" xr:uid="{E95450CE-986A-4D55-A54E-8349E7B7BFEF}"/>
    <cellStyle name="Normal 9 3 2 2 2 2 4" xfId="9521" xr:uid="{861D38FA-7ED4-4BEB-992B-9AE631B39585}"/>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2 2" xfId="16297" xr:uid="{DFCD2151-643F-4CF0-B9B9-559996300689}"/>
    <cellStyle name="Normal 9 3 2 2 2 3 2 3" xfId="12079" xr:uid="{94830824-7D8F-4CE0-8BD7-656933C8523F}"/>
    <cellStyle name="Normal 9 3 2 2 2 3 3" xfId="5723" xr:uid="{00000000-0005-0000-0000-0000B31F0000}"/>
    <cellStyle name="Normal 9 3 2 2 2 3 3 2" xfId="14152" xr:uid="{9AFAEABE-33B2-4A8B-A3D0-686D16EC8C79}"/>
    <cellStyle name="Normal 9 3 2 2 2 3 4" xfId="9934" xr:uid="{7FFBA847-5FE8-43A8-AA0F-13A831E6C1D8}"/>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2 2" xfId="16710" xr:uid="{B9263BCB-6662-4AF4-90C1-A2234483815F}"/>
    <cellStyle name="Normal 9 3 2 2 2 4 2 3" xfId="12492" xr:uid="{CB6B528A-B765-4B21-98B1-67F6C69AEE62}"/>
    <cellStyle name="Normal 9 3 2 2 2 4 3" xfId="6136" xr:uid="{00000000-0005-0000-0000-0000B71F0000}"/>
    <cellStyle name="Normal 9 3 2 2 2 4 3 2" xfId="14565" xr:uid="{3A736ABC-6C45-4863-8163-7B522E83A70C}"/>
    <cellStyle name="Normal 9 3 2 2 2 4 4" xfId="10347" xr:uid="{205A2A1C-0C7C-4684-BB36-0D167B95D28A}"/>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2 2" xfId="17123" xr:uid="{BD839D49-0C8B-4541-B75E-9EF6DAA5E685}"/>
    <cellStyle name="Normal 9 3 2 2 2 5 2 3" xfId="12905" xr:uid="{9A254316-CE7B-4C75-BD17-22E3F11230D5}"/>
    <cellStyle name="Normal 9 3 2 2 2 5 3" xfId="6549" xr:uid="{00000000-0005-0000-0000-0000BB1F0000}"/>
    <cellStyle name="Normal 9 3 2 2 2 5 3 2" xfId="14978" xr:uid="{C8CE57E7-F6D7-4C1A-A64A-684315076F22}"/>
    <cellStyle name="Normal 9 3 2 2 2 5 4" xfId="10760" xr:uid="{D5931FF8-D003-409A-A2C2-D9BCC795688D}"/>
    <cellStyle name="Normal 9 3 2 2 2 6" xfId="2677" xr:uid="{00000000-0005-0000-0000-0000BC1F0000}"/>
    <cellStyle name="Normal 9 3 2 2 2 6 2" xfId="6962" xr:uid="{00000000-0005-0000-0000-0000BD1F0000}"/>
    <cellStyle name="Normal 9 3 2 2 2 6 2 2" xfId="15391" xr:uid="{F58F4918-A977-4175-B9AB-6CF446E3AB0A}"/>
    <cellStyle name="Normal 9 3 2 2 2 6 3" xfId="11173" xr:uid="{139C3D17-05B7-4DDE-BAEA-7A68911C8C14}"/>
    <cellStyle name="Normal 9 3 2 2 2 7" xfId="4897" xr:uid="{00000000-0005-0000-0000-0000BE1F0000}"/>
    <cellStyle name="Normal 9 3 2 2 2 7 2" xfId="13326" xr:uid="{A43ADD28-798C-4403-9953-96D8B86D67A5}"/>
    <cellStyle name="Normal 9 3 2 2 2 8" xfId="9108" xr:uid="{B128A378-83F7-434C-9A3C-286B0F9F08F2}"/>
    <cellStyle name="Normal 9 3 2 2 3" xfId="997" xr:uid="{00000000-0005-0000-0000-0000BF1F0000}"/>
    <cellStyle name="Normal 9 3 2 2 3 2" xfId="3230" xr:uid="{00000000-0005-0000-0000-0000C01F0000}"/>
    <cellStyle name="Normal 9 3 2 2 3 2 2" xfId="7454" xr:uid="{00000000-0005-0000-0000-0000C11F0000}"/>
    <cellStyle name="Normal 9 3 2 2 3 2 2 2" xfId="15883" xr:uid="{A9D65C5D-627E-4624-9842-CC799B3C9B55}"/>
    <cellStyle name="Normal 9 3 2 2 3 2 3" xfId="11665" xr:uid="{C2F0AA94-381E-4201-B761-F4566A9F81EE}"/>
    <cellStyle name="Normal 9 3 2 2 3 3" xfId="5309" xr:uid="{00000000-0005-0000-0000-0000C21F0000}"/>
    <cellStyle name="Normal 9 3 2 2 3 3 2" xfId="13738" xr:uid="{4C08B350-4A22-4A56-92DC-B17429BBF622}"/>
    <cellStyle name="Normal 9 3 2 2 3 4" xfId="9520" xr:uid="{F6C9FD0D-3F85-4227-B2A0-D5E816752FF5}"/>
    <cellStyle name="Normal 9 3 2 2 4" xfId="1413" xr:uid="{00000000-0005-0000-0000-0000C31F0000}"/>
    <cellStyle name="Normal 9 3 2 2 4 2" xfId="3643" xr:uid="{00000000-0005-0000-0000-0000C41F0000}"/>
    <cellStyle name="Normal 9 3 2 2 4 2 2" xfId="7867" xr:uid="{00000000-0005-0000-0000-0000C51F0000}"/>
    <cellStyle name="Normal 9 3 2 2 4 2 2 2" xfId="16296" xr:uid="{9932E739-1E03-4FB0-8B38-4DAFC89F78C5}"/>
    <cellStyle name="Normal 9 3 2 2 4 2 3" xfId="12078" xr:uid="{D81A64B8-DB80-4210-9EDF-1C86005318AC}"/>
    <cellStyle name="Normal 9 3 2 2 4 3" xfId="5722" xr:uid="{00000000-0005-0000-0000-0000C61F0000}"/>
    <cellStyle name="Normal 9 3 2 2 4 3 2" xfId="14151" xr:uid="{2DE8AC1C-90C3-4493-AF51-098F9C815B0F}"/>
    <cellStyle name="Normal 9 3 2 2 4 4" xfId="9933" xr:uid="{10547383-FE47-421F-85B5-98992A777EED}"/>
    <cellStyle name="Normal 9 3 2 2 5" xfId="1826" xr:uid="{00000000-0005-0000-0000-0000C71F0000}"/>
    <cellStyle name="Normal 9 3 2 2 5 2" xfId="4056" xr:uid="{00000000-0005-0000-0000-0000C81F0000}"/>
    <cellStyle name="Normal 9 3 2 2 5 2 2" xfId="8280" xr:uid="{00000000-0005-0000-0000-0000C91F0000}"/>
    <cellStyle name="Normal 9 3 2 2 5 2 2 2" xfId="16709" xr:uid="{2AE818AB-54EF-4CF4-844F-D255469DA71B}"/>
    <cellStyle name="Normal 9 3 2 2 5 2 3" xfId="12491" xr:uid="{A0A79CB8-A5A4-4AAA-8004-1BC0AF3C0B27}"/>
    <cellStyle name="Normal 9 3 2 2 5 3" xfId="6135" xr:uid="{00000000-0005-0000-0000-0000CA1F0000}"/>
    <cellStyle name="Normal 9 3 2 2 5 3 2" xfId="14564" xr:uid="{A6C599A7-186D-4089-B2A8-45403243110F}"/>
    <cellStyle name="Normal 9 3 2 2 5 4" xfId="10346" xr:uid="{576BEDCC-D7B5-4E8A-8651-C50EDCA23F16}"/>
    <cellStyle name="Normal 9 3 2 2 6" xfId="2240" xr:uid="{00000000-0005-0000-0000-0000CB1F0000}"/>
    <cellStyle name="Normal 9 3 2 2 6 2" xfId="4469" xr:uid="{00000000-0005-0000-0000-0000CC1F0000}"/>
    <cellStyle name="Normal 9 3 2 2 6 2 2" xfId="8693" xr:uid="{00000000-0005-0000-0000-0000CD1F0000}"/>
    <cellStyle name="Normal 9 3 2 2 6 2 2 2" xfId="17122" xr:uid="{B981F8BC-7A00-4421-9D4A-58D2BECE64A8}"/>
    <cellStyle name="Normal 9 3 2 2 6 2 3" xfId="12904" xr:uid="{431E6621-D711-471B-9227-4546DE400240}"/>
    <cellStyle name="Normal 9 3 2 2 6 3" xfId="6548" xr:uid="{00000000-0005-0000-0000-0000CE1F0000}"/>
    <cellStyle name="Normal 9 3 2 2 6 3 2" xfId="14977" xr:uid="{92C0F568-4C6C-4152-B4C1-4C89A022021D}"/>
    <cellStyle name="Normal 9 3 2 2 6 4" xfId="10759" xr:uid="{504B3B5B-968C-4843-9B3F-3B56E7B4DD62}"/>
    <cellStyle name="Normal 9 3 2 2 7" xfId="2676" xr:uid="{00000000-0005-0000-0000-0000CF1F0000}"/>
    <cellStyle name="Normal 9 3 2 2 7 2" xfId="6961" xr:uid="{00000000-0005-0000-0000-0000D01F0000}"/>
    <cellStyle name="Normal 9 3 2 2 7 2 2" xfId="15390" xr:uid="{5CBD630E-311E-4BE0-8027-CA6048783003}"/>
    <cellStyle name="Normal 9 3 2 2 7 3" xfId="11172" xr:uid="{E0E703B4-615A-4DC0-B654-044218144CBD}"/>
    <cellStyle name="Normal 9 3 2 2 8" xfId="4896" xr:uid="{00000000-0005-0000-0000-0000D11F0000}"/>
    <cellStyle name="Normal 9 3 2 2 8 2" xfId="13325" xr:uid="{51259E9E-8FD7-4B62-90B0-B52E0F68DFFB}"/>
    <cellStyle name="Normal 9 3 2 2 9" xfId="9107" xr:uid="{E1065462-FA0A-48E6-A264-56C59DA51BB8}"/>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2 2" xfId="15885" xr:uid="{C06EAEF1-30D1-4CD4-9087-45A1802C60C5}"/>
    <cellStyle name="Normal 9 3 2 3 2 2 3" xfId="11667" xr:uid="{088CDEEA-CD03-4997-A7EC-37879A79C22B}"/>
    <cellStyle name="Normal 9 3 2 3 2 3" xfId="5311" xr:uid="{00000000-0005-0000-0000-0000D61F0000}"/>
    <cellStyle name="Normal 9 3 2 3 2 3 2" xfId="13740" xr:uid="{195A0042-54AD-4634-9561-204AB1A9D03D}"/>
    <cellStyle name="Normal 9 3 2 3 2 4" xfId="9522" xr:uid="{D8F7FA41-F1AD-49E3-ABA9-5557B941A32B}"/>
    <cellStyle name="Normal 9 3 2 3 3" xfId="1415" xr:uid="{00000000-0005-0000-0000-0000D71F0000}"/>
    <cellStyle name="Normal 9 3 2 3 3 2" xfId="3645" xr:uid="{00000000-0005-0000-0000-0000D81F0000}"/>
    <cellStyle name="Normal 9 3 2 3 3 2 2" xfId="7869" xr:uid="{00000000-0005-0000-0000-0000D91F0000}"/>
    <cellStyle name="Normal 9 3 2 3 3 2 2 2" xfId="16298" xr:uid="{DD4064BD-6991-4097-8586-841DDD19BFE8}"/>
    <cellStyle name="Normal 9 3 2 3 3 2 3" xfId="12080" xr:uid="{D08BE94B-0D13-4DC5-A5B5-98068AC978C4}"/>
    <cellStyle name="Normal 9 3 2 3 3 3" xfId="5724" xr:uid="{00000000-0005-0000-0000-0000DA1F0000}"/>
    <cellStyle name="Normal 9 3 2 3 3 3 2" xfId="14153" xr:uid="{2585A289-0805-4909-84AD-1193977FA9CA}"/>
    <cellStyle name="Normal 9 3 2 3 3 4" xfId="9935" xr:uid="{03B3997E-C275-4531-8ADA-83D31B00D75C}"/>
    <cellStyle name="Normal 9 3 2 3 4" xfId="1828" xr:uid="{00000000-0005-0000-0000-0000DB1F0000}"/>
    <cellStyle name="Normal 9 3 2 3 4 2" xfId="4058" xr:uid="{00000000-0005-0000-0000-0000DC1F0000}"/>
    <cellStyle name="Normal 9 3 2 3 4 2 2" xfId="8282" xr:uid="{00000000-0005-0000-0000-0000DD1F0000}"/>
    <cellStyle name="Normal 9 3 2 3 4 2 2 2" xfId="16711" xr:uid="{1CB2B232-F452-4097-B9D4-78B3A421521E}"/>
    <cellStyle name="Normal 9 3 2 3 4 2 3" xfId="12493" xr:uid="{5FFAF2EA-CF70-48C4-8710-6EA3284FC0DF}"/>
    <cellStyle name="Normal 9 3 2 3 4 3" xfId="6137" xr:uid="{00000000-0005-0000-0000-0000DE1F0000}"/>
    <cellStyle name="Normal 9 3 2 3 4 3 2" xfId="14566" xr:uid="{66F498F5-0897-45F1-BC21-7E5C8188C3E5}"/>
    <cellStyle name="Normal 9 3 2 3 4 4" xfId="10348" xr:uid="{01A5DBC9-9361-4FEC-9EA3-28D313F1926D}"/>
    <cellStyle name="Normal 9 3 2 3 5" xfId="2242" xr:uid="{00000000-0005-0000-0000-0000DF1F0000}"/>
    <cellStyle name="Normal 9 3 2 3 5 2" xfId="4471" xr:uid="{00000000-0005-0000-0000-0000E01F0000}"/>
    <cellStyle name="Normal 9 3 2 3 5 2 2" xfId="8695" xr:uid="{00000000-0005-0000-0000-0000E11F0000}"/>
    <cellStyle name="Normal 9 3 2 3 5 2 2 2" xfId="17124" xr:uid="{5F64D72D-B764-4C72-B899-2B8730EC5E2A}"/>
    <cellStyle name="Normal 9 3 2 3 5 2 3" xfId="12906" xr:uid="{4FD5F095-21C3-4DD1-8C41-5136C540EF9C}"/>
    <cellStyle name="Normal 9 3 2 3 5 3" xfId="6550" xr:uid="{00000000-0005-0000-0000-0000E21F0000}"/>
    <cellStyle name="Normal 9 3 2 3 5 3 2" xfId="14979" xr:uid="{31EE53E7-C0CA-408A-A4F8-D2EB55A7FDBD}"/>
    <cellStyle name="Normal 9 3 2 3 5 4" xfId="10761" xr:uid="{9D91E9F8-72AD-4365-8090-4B221037B701}"/>
    <cellStyle name="Normal 9 3 2 3 6" xfId="2678" xr:uid="{00000000-0005-0000-0000-0000E31F0000}"/>
    <cellStyle name="Normal 9 3 2 3 6 2" xfId="6963" xr:uid="{00000000-0005-0000-0000-0000E41F0000}"/>
    <cellStyle name="Normal 9 3 2 3 6 2 2" xfId="15392" xr:uid="{0A79ACBE-A440-40F1-BEEB-CA3EAE187584}"/>
    <cellStyle name="Normal 9 3 2 3 6 3" xfId="11174" xr:uid="{081986EA-98D1-406A-A3DD-0B9D355B6662}"/>
    <cellStyle name="Normal 9 3 2 3 7" xfId="4898" xr:uid="{00000000-0005-0000-0000-0000E51F0000}"/>
    <cellStyle name="Normal 9 3 2 3 7 2" xfId="13327" xr:uid="{4195499B-6F2A-4D18-BC02-5601C27E9A1E}"/>
    <cellStyle name="Normal 9 3 2 3 8" xfId="9109" xr:uid="{85B01F5A-C576-492B-9547-8B7F45E1FBA8}"/>
    <cellStyle name="Normal 9 3 2 4" xfId="996" xr:uid="{00000000-0005-0000-0000-0000E61F0000}"/>
    <cellStyle name="Normal 9 3 2 4 2" xfId="3229" xr:uid="{00000000-0005-0000-0000-0000E71F0000}"/>
    <cellStyle name="Normal 9 3 2 4 2 2" xfId="7453" xr:uid="{00000000-0005-0000-0000-0000E81F0000}"/>
    <cellStyle name="Normal 9 3 2 4 2 2 2" xfId="15882" xr:uid="{3445A0FB-476B-4F23-85B6-561D7788B97B}"/>
    <cellStyle name="Normal 9 3 2 4 2 3" xfId="11664" xr:uid="{EB8F26AB-64A5-4437-93FA-19BB20D98AA5}"/>
    <cellStyle name="Normal 9 3 2 4 3" xfId="5308" xr:uid="{00000000-0005-0000-0000-0000E91F0000}"/>
    <cellStyle name="Normal 9 3 2 4 3 2" xfId="13737" xr:uid="{6E373E7D-1384-4DC4-9415-C26B9046942A}"/>
    <cellStyle name="Normal 9 3 2 4 4" xfId="9519" xr:uid="{8078F1E3-1B16-473A-A9BD-4DC97FF9F69A}"/>
    <cellStyle name="Normal 9 3 2 5" xfId="1412" xr:uid="{00000000-0005-0000-0000-0000EA1F0000}"/>
    <cellStyle name="Normal 9 3 2 5 2" xfId="3642" xr:uid="{00000000-0005-0000-0000-0000EB1F0000}"/>
    <cellStyle name="Normal 9 3 2 5 2 2" xfId="7866" xr:uid="{00000000-0005-0000-0000-0000EC1F0000}"/>
    <cellStyle name="Normal 9 3 2 5 2 2 2" xfId="16295" xr:uid="{6299D84A-4BF7-45E6-8984-87942A3B54CA}"/>
    <cellStyle name="Normal 9 3 2 5 2 3" xfId="12077" xr:uid="{B91CB226-C262-4B45-AE08-73598DB79D1F}"/>
    <cellStyle name="Normal 9 3 2 5 3" xfId="5721" xr:uid="{00000000-0005-0000-0000-0000ED1F0000}"/>
    <cellStyle name="Normal 9 3 2 5 3 2" xfId="14150" xr:uid="{69ABF628-E237-46B1-92F3-8D46FCBFD242}"/>
    <cellStyle name="Normal 9 3 2 5 4" xfId="9932" xr:uid="{50A06FBB-0E63-4EE5-B7BF-66E109AB69A7}"/>
    <cellStyle name="Normal 9 3 2 6" xfId="1825" xr:uid="{00000000-0005-0000-0000-0000EE1F0000}"/>
    <cellStyle name="Normal 9 3 2 6 2" xfId="4055" xr:uid="{00000000-0005-0000-0000-0000EF1F0000}"/>
    <cellStyle name="Normal 9 3 2 6 2 2" xfId="8279" xr:uid="{00000000-0005-0000-0000-0000F01F0000}"/>
    <cellStyle name="Normal 9 3 2 6 2 2 2" xfId="16708" xr:uid="{AB8909AB-67D7-4BE5-83FA-53A6B89E80B9}"/>
    <cellStyle name="Normal 9 3 2 6 2 3" xfId="12490" xr:uid="{6A01C92F-6239-4BB6-8B44-BAC767C08118}"/>
    <cellStyle name="Normal 9 3 2 6 3" xfId="6134" xr:uid="{00000000-0005-0000-0000-0000F11F0000}"/>
    <cellStyle name="Normal 9 3 2 6 3 2" xfId="14563" xr:uid="{EF449BC7-E6F7-459C-AAAD-83BFB997B7CD}"/>
    <cellStyle name="Normal 9 3 2 6 4" xfId="10345" xr:uid="{A36C517E-68C0-408D-BC6E-BF9345FD696B}"/>
    <cellStyle name="Normal 9 3 2 7" xfId="2239" xr:uid="{00000000-0005-0000-0000-0000F21F0000}"/>
    <cellStyle name="Normal 9 3 2 7 2" xfId="4468" xr:uid="{00000000-0005-0000-0000-0000F31F0000}"/>
    <cellStyle name="Normal 9 3 2 7 2 2" xfId="8692" xr:uid="{00000000-0005-0000-0000-0000F41F0000}"/>
    <cellStyle name="Normal 9 3 2 7 2 2 2" xfId="17121" xr:uid="{220ACF14-4597-44AF-B0BC-6BE2D4C3AB81}"/>
    <cellStyle name="Normal 9 3 2 7 2 3" xfId="12903" xr:uid="{42001C42-A218-4243-9F65-7C1F3F03EFEB}"/>
    <cellStyle name="Normal 9 3 2 7 3" xfId="6547" xr:uid="{00000000-0005-0000-0000-0000F51F0000}"/>
    <cellStyle name="Normal 9 3 2 7 3 2" xfId="14976" xr:uid="{D764FE14-F26D-4D6C-AE79-3F59BD383BA9}"/>
    <cellStyle name="Normal 9 3 2 7 4" xfId="10758" xr:uid="{DAEB7140-6C01-4FF9-BD49-44655C34E7FF}"/>
    <cellStyle name="Normal 9 3 2 8" xfId="2675" xr:uid="{00000000-0005-0000-0000-0000F61F0000}"/>
    <cellStyle name="Normal 9 3 2 8 2" xfId="6960" xr:uid="{00000000-0005-0000-0000-0000F71F0000}"/>
    <cellStyle name="Normal 9 3 2 8 2 2" xfId="15389" xr:uid="{519DFE92-A5AE-413C-A3CB-6F2744916D17}"/>
    <cellStyle name="Normal 9 3 2 8 3" xfId="11171" xr:uid="{E24B1FD9-4C3A-4033-8FC0-D55340FE05F7}"/>
    <cellStyle name="Normal 9 3 2 9" xfId="4895" xr:uid="{00000000-0005-0000-0000-0000F81F0000}"/>
    <cellStyle name="Normal 9 3 2 9 2" xfId="13324" xr:uid="{6B09727E-D4E3-4EFD-AECE-B113B126C5B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2 2" xfId="15887" xr:uid="{9A62E9B5-C6C0-4C51-8381-965311D8A158}"/>
    <cellStyle name="Normal 9 3 3 2 2 2 3" xfId="11669" xr:uid="{3E749DD4-F950-4134-842B-CDBE74692CD5}"/>
    <cellStyle name="Normal 9 3 3 2 2 3" xfId="5313" xr:uid="{00000000-0005-0000-0000-0000FE1F0000}"/>
    <cellStyle name="Normal 9 3 3 2 2 3 2" xfId="13742" xr:uid="{7762328F-8839-49F8-9E63-227AB575E684}"/>
    <cellStyle name="Normal 9 3 3 2 2 4" xfId="9524" xr:uid="{F3594BB3-32EB-42E5-84AB-83941654CD61}"/>
    <cellStyle name="Normal 9 3 3 2 3" xfId="1417" xr:uid="{00000000-0005-0000-0000-0000FF1F0000}"/>
    <cellStyle name="Normal 9 3 3 2 3 2" xfId="3647" xr:uid="{00000000-0005-0000-0000-000000200000}"/>
    <cellStyle name="Normal 9 3 3 2 3 2 2" xfId="7871" xr:uid="{00000000-0005-0000-0000-000001200000}"/>
    <cellStyle name="Normal 9 3 3 2 3 2 2 2" xfId="16300" xr:uid="{02CA6E99-5C32-4B0B-BD0C-6A14DA0A454C}"/>
    <cellStyle name="Normal 9 3 3 2 3 2 3" xfId="12082" xr:uid="{4646DE5E-9EF5-4EAA-AE0A-7279C27CE20C}"/>
    <cellStyle name="Normal 9 3 3 2 3 3" xfId="5726" xr:uid="{00000000-0005-0000-0000-000002200000}"/>
    <cellStyle name="Normal 9 3 3 2 3 3 2" xfId="14155" xr:uid="{A5AC9905-B94E-49EA-9481-0A1418096FD6}"/>
    <cellStyle name="Normal 9 3 3 2 3 4" xfId="9937" xr:uid="{9F73D20F-054D-4DA9-83F5-2AA2329C386B}"/>
    <cellStyle name="Normal 9 3 3 2 4" xfId="1830" xr:uid="{00000000-0005-0000-0000-000003200000}"/>
    <cellStyle name="Normal 9 3 3 2 4 2" xfId="4060" xr:uid="{00000000-0005-0000-0000-000004200000}"/>
    <cellStyle name="Normal 9 3 3 2 4 2 2" xfId="8284" xr:uid="{00000000-0005-0000-0000-000005200000}"/>
    <cellStyle name="Normal 9 3 3 2 4 2 2 2" xfId="16713" xr:uid="{CCF43047-6430-4D9F-8455-021AFEA02B31}"/>
    <cellStyle name="Normal 9 3 3 2 4 2 3" xfId="12495" xr:uid="{3BDEE743-8199-4EE7-8981-697544A12AF0}"/>
    <cellStyle name="Normal 9 3 3 2 4 3" xfId="6139" xr:uid="{00000000-0005-0000-0000-000006200000}"/>
    <cellStyle name="Normal 9 3 3 2 4 3 2" xfId="14568" xr:uid="{336264D9-27A2-4B90-863D-D80629D41E07}"/>
    <cellStyle name="Normal 9 3 3 2 4 4" xfId="10350" xr:uid="{8C1BEE6B-91B5-4E91-9213-1AD752FD689D}"/>
    <cellStyle name="Normal 9 3 3 2 5" xfId="2244" xr:uid="{00000000-0005-0000-0000-000007200000}"/>
    <cellStyle name="Normal 9 3 3 2 5 2" xfId="4473" xr:uid="{00000000-0005-0000-0000-000008200000}"/>
    <cellStyle name="Normal 9 3 3 2 5 2 2" xfId="8697" xr:uid="{00000000-0005-0000-0000-000009200000}"/>
    <cellStyle name="Normal 9 3 3 2 5 2 2 2" xfId="17126" xr:uid="{F1C57019-220A-4B99-9CB1-F8C8C2F6801F}"/>
    <cellStyle name="Normal 9 3 3 2 5 2 3" xfId="12908" xr:uid="{C4F4C5D2-8638-424E-A0D3-FF9359D2D280}"/>
    <cellStyle name="Normal 9 3 3 2 5 3" xfId="6552" xr:uid="{00000000-0005-0000-0000-00000A200000}"/>
    <cellStyle name="Normal 9 3 3 2 5 3 2" xfId="14981" xr:uid="{8EA09802-5AD7-4657-9D0F-935EADB45DF7}"/>
    <cellStyle name="Normal 9 3 3 2 5 4" xfId="10763" xr:uid="{448A26F7-FE0B-43CB-8A95-9C6855CF44FF}"/>
    <cellStyle name="Normal 9 3 3 2 6" xfId="2680" xr:uid="{00000000-0005-0000-0000-00000B200000}"/>
    <cellStyle name="Normal 9 3 3 2 6 2" xfId="6965" xr:uid="{00000000-0005-0000-0000-00000C200000}"/>
    <cellStyle name="Normal 9 3 3 2 6 2 2" xfId="15394" xr:uid="{4D192085-AE82-451C-97D0-4AC60AD2D7DC}"/>
    <cellStyle name="Normal 9 3 3 2 6 3" xfId="11176" xr:uid="{205A4180-8620-44DF-A8A3-37190AFB13AF}"/>
    <cellStyle name="Normal 9 3 3 2 7" xfId="4900" xr:uid="{00000000-0005-0000-0000-00000D200000}"/>
    <cellStyle name="Normal 9 3 3 2 7 2" xfId="13329" xr:uid="{70469A68-943F-4302-BA0F-DBFBF5BD69E7}"/>
    <cellStyle name="Normal 9 3 3 2 8" xfId="9111" xr:uid="{9CE425AF-5F47-45DF-9F32-A45B554DC831}"/>
    <cellStyle name="Normal 9 3 3 3" xfId="1000" xr:uid="{00000000-0005-0000-0000-00000E200000}"/>
    <cellStyle name="Normal 9 3 3 3 2" xfId="3233" xr:uid="{00000000-0005-0000-0000-00000F200000}"/>
    <cellStyle name="Normal 9 3 3 3 2 2" xfId="7457" xr:uid="{00000000-0005-0000-0000-000010200000}"/>
    <cellStyle name="Normal 9 3 3 3 2 2 2" xfId="15886" xr:uid="{8C82FD12-1779-4D14-8F33-7B583DF4424D}"/>
    <cellStyle name="Normal 9 3 3 3 2 3" xfId="11668" xr:uid="{0A838BA1-EF36-4FC3-9BDE-7673A5A59116}"/>
    <cellStyle name="Normal 9 3 3 3 3" xfId="5312" xr:uid="{00000000-0005-0000-0000-000011200000}"/>
    <cellStyle name="Normal 9 3 3 3 3 2" xfId="13741" xr:uid="{BDB1E3BD-E792-4B0E-9B11-7CB9C6FB628E}"/>
    <cellStyle name="Normal 9 3 3 3 4" xfId="9523" xr:uid="{63A3C1A4-3C53-426E-B3AD-D96182FC9706}"/>
    <cellStyle name="Normal 9 3 3 4" xfId="1416" xr:uid="{00000000-0005-0000-0000-000012200000}"/>
    <cellStyle name="Normal 9 3 3 4 2" xfId="3646" xr:uid="{00000000-0005-0000-0000-000013200000}"/>
    <cellStyle name="Normal 9 3 3 4 2 2" xfId="7870" xr:uid="{00000000-0005-0000-0000-000014200000}"/>
    <cellStyle name="Normal 9 3 3 4 2 2 2" xfId="16299" xr:uid="{5C8BD693-F73A-4BD0-A288-6ED0440224EE}"/>
    <cellStyle name="Normal 9 3 3 4 2 3" xfId="12081" xr:uid="{5CE581A0-07E9-4D29-860C-78D2CF442AD3}"/>
    <cellStyle name="Normal 9 3 3 4 3" xfId="5725" xr:uid="{00000000-0005-0000-0000-000015200000}"/>
    <cellStyle name="Normal 9 3 3 4 3 2" xfId="14154" xr:uid="{5F5D0332-0479-484B-A0FF-DFC81799FFF1}"/>
    <cellStyle name="Normal 9 3 3 4 4" xfId="9936" xr:uid="{D956BAD9-2B95-4F8B-8F8B-902CFCDC2D4D}"/>
    <cellStyle name="Normal 9 3 3 5" xfId="1829" xr:uid="{00000000-0005-0000-0000-000016200000}"/>
    <cellStyle name="Normal 9 3 3 5 2" xfId="4059" xr:uid="{00000000-0005-0000-0000-000017200000}"/>
    <cellStyle name="Normal 9 3 3 5 2 2" xfId="8283" xr:uid="{00000000-0005-0000-0000-000018200000}"/>
    <cellStyle name="Normal 9 3 3 5 2 2 2" xfId="16712" xr:uid="{7AF1FE25-FCD4-4E7B-BF02-89D0821C8F82}"/>
    <cellStyle name="Normal 9 3 3 5 2 3" xfId="12494" xr:uid="{9303FB6F-675E-4B38-8EAA-F8CB1C01E39F}"/>
    <cellStyle name="Normal 9 3 3 5 3" xfId="6138" xr:uid="{00000000-0005-0000-0000-000019200000}"/>
    <cellStyle name="Normal 9 3 3 5 3 2" xfId="14567" xr:uid="{E7767C94-5FF1-4AEA-880B-D7B11E30F478}"/>
    <cellStyle name="Normal 9 3 3 5 4" xfId="10349" xr:uid="{5099F6A3-1456-43BE-8BE7-811FDACA40A1}"/>
    <cellStyle name="Normal 9 3 3 6" xfId="2243" xr:uid="{00000000-0005-0000-0000-00001A200000}"/>
    <cellStyle name="Normal 9 3 3 6 2" xfId="4472" xr:uid="{00000000-0005-0000-0000-00001B200000}"/>
    <cellStyle name="Normal 9 3 3 6 2 2" xfId="8696" xr:uid="{00000000-0005-0000-0000-00001C200000}"/>
    <cellStyle name="Normal 9 3 3 6 2 2 2" xfId="17125" xr:uid="{B5530D89-CEB3-491F-A939-AEBF4226374B}"/>
    <cellStyle name="Normal 9 3 3 6 2 3" xfId="12907" xr:uid="{3E7E29F4-EB7C-420A-ADA7-BD4E332BD40C}"/>
    <cellStyle name="Normal 9 3 3 6 3" xfId="6551" xr:uid="{00000000-0005-0000-0000-00001D200000}"/>
    <cellStyle name="Normal 9 3 3 6 3 2" xfId="14980" xr:uid="{42300787-545C-4389-9977-1473DF066E15}"/>
    <cellStyle name="Normal 9 3 3 6 4" xfId="10762" xr:uid="{76708257-C04D-40D1-B7A6-42B1DB074952}"/>
    <cellStyle name="Normal 9 3 3 7" xfId="2679" xr:uid="{00000000-0005-0000-0000-00001E200000}"/>
    <cellStyle name="Normal 9 3 3 7 2" xfId="6964" xr:uid="{00000000-0005-0000-0000-00001F200000}"/>
    <cellStyle name="Normal 9 3 3 7 2 2" xfId="15393" xr:uid="{5146201C-6A81-4129-8C27-1DDE3A819A76}"/>
    <cellStyle name="Normal 9 3 3 7 3" xfId="11175" xr:uid="{874225CC-EB3F-4C28-B611-4FCBAA463ACA}"/>
    <cellStyle name="Normal 9 3 3 8" xfId="4899" xr:uid="{00000000-0005-0000-0000-000020200000}"/>
    <cellStyle name="Normal 9 3 3 8 2" xfId="13328" xr:uid="{14478C83-56FC-4686-81BE-99BDF7B30FCE}"/>
    <cellStyle name="Normal 9 3 3 9" xfId="9110" xr:uid="{1A9748C2-0B54-4A34-8CDA-D06138CB6586}"/>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2 2" xfId="15888" xr:uid="{450388A5-AB99-4377-9DC8-597343FFE5B3}"/>
    <cellStyle name="Normal 9 3 4 2 2 3" xfId="11670" xr:uid="{ACA758DC-E3D0-442E-8651-7D76FB5ABFE8}"/>
    <cellStyle name="Normal 9 3 4 2 3" xfId="5314" xr:uid="{00000000-0005-0000-0000-000025200000}"/>
    <cellStyle name="Normal 9 3 4 2 3 2" xfId="13743" xr:uid="{78941FB8-D8D2-4BFE-8E52-BD273EFA37C0}"/>
    <cellStyle name="Normal 9 3 4 2 4" xfId="9525" xr:uid="{C7839E08-A646-459E-A405-06CA6B2F96C6}"/>
    <cellStyle name="Normal 9 3 4 3" xfId="1418" xr:uid="{00000000-0005-0000-0000-000026200000}"/>
    <cellStyle name="Normal 9 3 4 3 2" xfId="3648" xr:uid="{00000000-0005-0000-0000-000027200000}"/>
    <cellStyle name="Normal 9 3 4 3 2 2" xfId="7872" xr:uid="{00000000-0005-0000-0000-000028200000}"/>
    <cellStyle name="Normal 9 3 4 3 2 2 2" xfId="16301" xr:uid="{D20170B6-71B5-4E9E-AF04-A1866BE7678C}"/>
    <cellStyle name="Normal 9 3 4 3 2 3" xfId="12083" xr:uid="{BF9B8E35-D7CB-4E2E-A4BB-AB399223701F}"/>
    <cellStyle name="Normal 9 3 4 3 3" xfId="5727" xr:uid="{00000000-0005-0000-0000-000029200000}"/>
    <cellStyle name="Normal 9 3 4 3 3 2" xfId="14156" xr:uid="{5BD688CE-FAD9-42EC-9034-8F7E3C98FD56}"/>
    <cellStyle name="Normal 9 3 4 3 4" xfId="9938" xr:uid="{87F4F3F0-FE6E-4BB0-909E-9B6B55CD0AEE}"/>
    <cellStyle name="Normal 9 3 4 4" xfId="1831" xr:uid="{00000000-0005-0000-0000-00002A200000}"/>
    <cellStyle name="Normal 9 3 4 4 2" xfId="4061" xr:uid="{00000000-0005-0000-0000-00002B200000}"/>
    <cellStyle name="Normal 9 3 4 4 2 2" xfId="8285" xr:uid="{00000000-0005-0000-0000-00002C200000}"/>
    <cellStyle name="Normal 9 3 4 4 2 2 2" xfId="16714" xr:uid="{D9341EF2-1077-4580-84C1-ED34C37BE2E6}"/>
    <cellStyle name="Normal 9 3 4 4 2 3" xfId="12496" xr:uid="{6C90EDC6-DA47-45E5-A897-7B25C510A9B3}"/>
    <cellStyle name="Normal 9 3 4 4 3" xfId="6140" xr:uid="{00000000-0005-0000-0000-00002D200000}"/>
    <cellStyle name="Normal 9 3 4 4 3 2" xfId="14569" xr:uid="{84D27DEC-1F19-4756-A138-3568FCFDCB76}"/>
    <cellStyle name="Normal 9 3 4 4 4" xfId="10351" xr:uid="{B6C14EEC-8058-4290-9595-B3597D1BD5C9}"/>
    <cellStyle name="Normal 9 3 4 5" xfId="2245" xr:uid="{00000000-0005-0000-0000-00002E200000}"/>
    <cellStyle name="Normal 9 3 4 5 2" xfId="4474" xr:uid="{00000000-0005-0000-0000-00002F200000}"/>
    <cellStyle name="Normal 9 3 4 5 2 2" xfId="8698" xr:uid="{00000000-0005-0000-0000-000030200000}"/>
    <cellStyle name="Normal 9 3 4 5 2 2 2" xfId="17127" xr:uid="{58FBEAF9-5FBD-4F65-A635-EA76F3D41339}"/>
    <cellStyle name="Normal 9 3 4 5 2 3" xfId="12909" xr:uid="{7FC28762-A6C7-44D9-A9CF-385B77DCAF43}"/>
    <cellStyle name="Normal 9 3 4 5 3" xfId="6553" xr:uid="{00000000-0005-0000-0000-000031200000}"/>
    <cellStyle name="Normal 9 3 4 5 3 2" xfId="14982" xr:uid="{F81D9934-9192-49F6-8E19-D0BE8777AC49}"/>
    <cellStyle name="Normal 9 3 4 5 4" xfId="10764" xr:uid="{9C2DE4C4-3AE5-4697-976E-8B2F1E42DBCC}"/>
    <cellStyle name="Normal 9 3 4 6" xfId="2681" xr:uid="{00000000-0005-0000-0000-000032200000}"/>
    <cellStyle name="Normal 9 3 4 6 2" xfId="6966" xr:uid="{00000000-0005-0000-0000-000033200000}"/>
    <cellStyle name="Normal 9 3 4 6 2 2" xfId="15395" xr:uid="{698C52F6-72FB-4264-89EB-0693E97998FF}"/>
    <cellStyle name="Normal 9 3 4 6 3" xfId="11177" xr:uid="{ADA3F0B0-8378-43A8-A4D3-E5D7DBF235AB}"/>
    <cellStyle name="Normal 9 3 4 7" xfId="4901" xr:uid="{00000000-0005-0000-0000-000034200000}"/>
    <cellStyle name="Normal 9 3 4 7 2" xfId="13330" xr:uid="{A8A3C8FA-D124-4250-AC06-914A9E87226D}"/>
    <cellStyle name="Normal 9 3 4 8" xfId="9112" xr:uid="{0D86047D-A4C8-43E6-A6A2-47F3B22DAFFE}"/>
    <cellStyle name="Normal 9 3 5" xfId="995" xr:uid="{00000000-0005-0000-0000-000035200000}"/>
    <cellStyle name="Normal 9 3 5 2" xfId="3228" xr:uid="{00000000-0005-0000-0000-000036200000}"/>
    <cellStyle name="Normal 9 3 5 2 2" xfId="7452" xr:uid="{00000000-0005-0000-0000-000037200000}"/>
    <cellStyle name="Normal 9 3 5 2 2 2" xfId="15881" xr:uid="{829CA601-E419-4694-A510-0531CEF89629}"/>
    <cellStyle name="Normal 9 3 5 2 3" xfId="11663" xr:uid="{6B87B591-3391-41ED-8A3C-2689585B665E}"/>
    <cellStyle name="Normal 9 3 5 3" xfId="5307" xr:uid="{00000000-0005-0000-0000-000038200000}"/>
    <cellStyle name="Normal 9 3 5 3 2" xfId="13736" xr:uid="{B3924421-E3E9-4EC2-8A3D-498532836E6E}"/>
    <cellStyle name="Normal 9 3 5 4" xfId="9518" xr:uid="{A50BEA47-C8EE-42AA-A637-1004E20E773E}"/>
    <cellStyle name="Normal 9 3 6" xfId="1411" xr:uid="{00000000-0005-0000-0000-000039200000}"/>
    <cellStyle name="Normal 9 3 6 2" xfId="3641" xr:uid="{00000000-0005-0000-0000-00003A200000}"/>
    <cellStyle name="Normal 9 3 6 2 2" xfId="7865" xr:uid="{00000000-0005-0000-0000-00003B200000}"/>
    <cellStyle name="Normal 9 3 6 2 2 2" xfId="16294" xr:uid="{18FDF38B-A4C5-4F9B-B5AF-322D8544EDEE}"/>
    <cellStyle name="Normal 9 3 6 2 3" xfId="12076" xr:uid="{25D6E193-E7FA-4BF0-9ADE-8DBB99C4551F}"/>
    <cellStyle name="Normal 9 3 6 3" xfId="5720" xr:uid="{00000000-0005-0000-0000-00003C200000}"/>
    <cellStyle name="Normal 9 3 6 3 2" xfId="14149" xr:uid="{3AC2C147-D859-45C4-8E0F-DBBAB169175C}"/>
    <cellStyle name="Normal 9 3 6 4" xfId="9931" xr:uid="{18EA5532-5145-432D-98A2-DC450287A4F9}"/>
    <cellStyle name="Normal 9 3 7" xfId="1824" xr:uid="{00000000-0005-0000-0000-00003D200000}"/>
    <cellStyle name="Normal 9 3 7 2" xfId="4054" xr:uid="{00000000-0005-0000-0000-00003E200000}"/>
    <cellStyle name="Normal 9 3 7 2 2" xfId="8278" xr:uid="{00000000-0005-0000-0000-00003F200000}"/>
    <cellStyle name="Normal 9 3 7 2 2 2" xfId="16707" xr:uid="{D48135B2-9466-46ED-8A5B-B7A32807046D}"/>
    <cellStyle name="Normal 9 3 7 2 3" xfId="12489" xr:uid="{AE92D068-9126-4D79-8F60-CB757A95EC22}"/>
    <cellStyle name="Normal 9 3 7 3" xfId="6133" xr:uid="{00000000-0005-0000-0000-000040200000}"/>
    <cellStyle name="Normal 9 3 7 3 2" xfId="14562" xr:uid="{3038B51A-A867-489A-910F-CEF249122E80}"/>
    <cellStyle name="Normal 9 3 7 4" xfId="10344" xr:uid="{9E8A24B5-AF34-41F3-83C9-FA4EB17C8E25}"/>
    <cellStyle name="Normal 9 3 8" xfId="2238" xr:uid="{00000000-0005-0000-0000-000041200000}"/>
    <cellStyle name="Normal 9 3 8 2" xfId="4467" xr:uid="{00000000-0005-0000-0000-000042200000}"/>
    <cellStyle name="Normal 9 3 8 2 2" xfId="8691" xr:uid="{00000000-0005-0000-0000-000043200000}"/>
    <cellStyle name="Normal 9 3 8 2 2 2" xfId="17120" xr:uid="{60D13E47-0D17-483B-898F-EA7BF82D5941}"/>
    <cellStyle name="Normal 9 3 8 2 3" xfId="12902" xr:uid="{0DD4D3A8-6511-4A5A-B359-7598E45FA2BD}"/>
    <cellStyle name="Normal 9 3 8 3" xfId="6546" xr:uid="{00000000-0005-0000-0000-000044200000}"/>
    <cellStyle name="Normal 9 3 8 3 2" xfId="14975" xr:uid="{CACAC78E-9E72-4EA8-99AE-23D3AA7D4187}"/>
    <cellStyle name="Normal 9 3 8 4" xfId="10757" xr:uid="{9A225541-F605-4A40-BC0E-5B7A73070528}"/>
    <cellStyle name="Normal 9 3 9" xfId="2674" xr:uid="{00000000-0005-0000-0000-000045200000}"/>
    <cellStyle name="Normal 9 3 9 2" xfId="6959" xr:uid="{00000000-0005-0000-0000-000046200000}"/>
    <cellStyle name="Normal 9 3 9 2 2" xfId="15388" xr:uid="{D51DFBE7-8AE4-4474-AA83-77B7C156037F}"/>
    <cellStyle name="Normal 9 3 9 3" xfId="11170" xr:uid="{95767906-1708-4692-969A-A5213D1C30A9}"/>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2 2" xfId="15890" xr:uid="{674CC971-8F9F-4DA6-BCE6-216A9AFC13E7}"/>
    <cellStyle name="Normal 9 5 2 2 2 3" xfId="11672" xr:uid="{614538B6-EEDD-44C1-866A-C0DBD5B6FDC5}"/>
    <cellStyle name="Normal 9 5 2 2 3" xfId="5316" xr:uid="{00000000-0005-0000-0000-00004E200000}"/>
    <cellStyle name="Normal 9 5 2 2 3 2" xfId="13745" xr:uid="{BC299E83-247A-4624-9170-C9F4BBD81964}"/>
    <cellStyle name="Normal 9 5 2 2 4" xfId="9527" xr:uid="{E65BBF82-BF0B-43D1-890E-23133CF7495C}"/>
    <cellStyle name="Normal 9 5 2 3" xfId="1420" xr:uid="{00000000-0005-0000-0000-00004F200000}"/>
    <cellStyle name="Normal 9 5 2 3 2" xfId="3650" xr:uid="{00000000-0005-0000-0000-000050200000}"/>
    <cellStyle name="Normal 9 5 2 3 2 2" xfId="7874" xr:uid="{00000000-0005-0000-0000-000051200000}"/>
    <cellStyle name="Normal 9 5 2 3 2 2 2" xfId="16303" xr:uid="{7FDD5E35-D407-4605-8776-EB56562322AD}"/>
    <cellStyle name="Normal 9 5 2 3 2 3" xfId="12085" xr:uid="{834ADB2A-FEED-43C8-A089-D950E34D2494}"/>
    <cellStyle name="Normal 9 5 2 3 3" xfId="5729" xr:uid="{00000000-0005-0000-0000-000052200000}"/>
    <cellStyle name="Normal 9 5 2 3 3 2" xfId="14158" xr:uid="{2DE285B6-054B-4423-8EE2-347311EC763D}"/>
    <cellStyle name="Normal 9 5 2 3 4" xfId="9940" xr:uid="{770FD52F-05A3-440E-8918-F75BEACF0AA7}"/>
    <cellStyle name="Normal 9 5 2 4" xfId="1833" xr:uid="{00000000-0005-0000-0000-000053200000}"/>
    <cellStyle name="Normal 9 5 2 4 2" xfId="4063" xr:uid="{00000000-0005-0000-0000-000054200000}"/>
    <cellStyle name="Normal 9 5 2 4 2 2" xfId="8287" xr:uid="{00000000-0005-0000-0000-000055200000}"/>
    <cellStyle name="Normal 9 5 2 4 2 2 2" xfId="16716" xr:uid="{96D4724F-0602-446D-9321-43D7F517E15F}"/>
    <cellStyle name="Normal 9 5 2 4 2 3" xfId="12498" xr:uid="{33DC3472-1B47-4DD5-AB3F-72BA714A0613}"/>
    <cellStyle name="Normal 9 5 2 4 3" xfId="6142" xr:uid="{00000000-0005-0000-0000-000056200000}"/>
    <cellStyle name="Normal 9 5 2 4 3 2" xfId="14571" xr:uid="{D20E7CDF-154A-4867-B65D-5503C82F0817}"/>
    <cellStyle name="Normal 9 5 2 4 4" xfId="10353" xr:uid="{BE87AB79-1D69-4696-83B2-F6570F9AD5C6}"/>
    <cellStyle name="Normal 9 5 2 5" xfId="2247" xr:uid="{00000000-0005-0000-0000-000057200000}"/>
    <cellStyle name="Normal 9 5 2 5 2" xfId="4476" xr:uid="{00000000-0005-0000-0000-000058200000}"/>
    <cellStyle name="Normal 9 5 2 5 2 2" xfId="8700" xr:uid="{00000000-0005-0000-0000-000059200000}"/>
    <cellStyle name="Normal 9 5 2 5 2 2 2" xfId="17129" xr:uid="{3B901210-E81A-47FE-8AF1-966D1648BD0E}"/>
    <cellStyle name="Normal 9 5 2 5 2 3" xfId="12911" xr:uid="{0A306BC6-E021-40C3-A3A7-003270F09992}"/>
    <cellStyle name="Normal 9 5 2 5 3" xfId="6555" xr:uid="{00000000-0005-0000-0000-00005A200000}"/>
    <cellStyle name="Normal 9 5 2 5 3 2" xfId="14984" xr:uid="{14001D29-E983-4FA5-859E-EF8EDCBE0B68}"/>
    <cellStyle name="Normal 9 5 2 5 4" xfId="10766" xr:uid="{AC33A7BE-D316-4EF3-BF5F-FCD9CEEF97B2}"/>
    <cellStyle name="Normal 9 5 2 6" xfId="2683" xr:uid="{00000000-0005-0000-0000-00005B200000}"/>
    <cellStyle name="Normal 9 5 2 6 2" xfId="6968" xr:uid="{00000000-0005-0000-0000-00005C200000}"/>
    <cellStyle name="Normal 9 5 2 6 2 2" xfId="15397" xr:uid="{52E1E2B4-95E8-44BF-8D53-982644D0821B}"/>
    <cellStyle name="Normal 9 5 2 6 3" xfId="11179" xr:uid="{BB540F61-CDD3-4477-B9B6-E34B8AE1A964}"/>
    <cellStyle name="Normal 9 5 2 7" xfId="4903" xr:uid="{00000000-0005-0000-0000-00005D200000}"/>
    <cellStyle name="Normal 9 5 2 7 2" xfId="13332" xr:uid="{FA197976-C87C-44FC-B6A5-3458FB941260}"/>
    <cellStyle name="Normal 9 5 2 8" xfId="9114" xr:uid="{0974D46E-2ACC-4F61-9D73-300E39257391}"/>
    <cellStyle name="Normal 9 5 3" xfId="1004" xr:uid="{00000000-0005-0000-0000-00005E200000}"/>
    <cellStyle name="Normal 9 5 3 2" xfId="3236" xr:uid="{00000000-0005-0000-0000-00005F200000}"/>
    <cellStyle name="Normal 9 5 3 2 2" xfId="7460" xr:uid="{00000000-0005-0000-0000-000060200000}"/>
    <cellStyle name="Normal 9 5 3 2 2 2" xfId="15889" xr:uid="{577754C3-BF93-4710-9C5D-28F2493BF601}"/>
    <cellStyle name="Normal 9 5 3 2 3" xfId="11671" xr:uid="{A3C1A96E-0338-41CA-8330-B5DA807CBDD9}"/>
    <cellStyle name="Normal 9 5 3 3" xfId="5315" xr:uid="{00000000-0005-0000-0000-000061200000}"/>
    <cellStyle name="Normal 9 5 3 3 2" xfId="13744" xr:uid="{E2339AA6-6DB3-404E-A635-5120FDA6B286}"/>
    <cellStyle name="Normal 9 5 3 4" xfId="9526" xr:uid="{059A1587-7F88-4590-ABCE-B4A11BCDD5F8}"/>
    <cellStyle name="Normal 9 5 4" xfId="1419" xr:uid="{00000000-0005-0000-0000-000062200000}"/>
    <cellStyle name="Normal 9 5 4 2" xfId="3649" xr:uid="{00000000-0005-0000-0000-000063200000}"/>
    <cellStyle name="Normal 9 5 4 2 2" xfId="7873" xr:uid="{00000000-0005-0000-0000-000064200000}"/>
    <cellStyle name="Normal 9 5 4 2 2 2" xfId="16302" xr:uid="{236A437B-DB10-4A29-A3D3-5618BEE297DB}"/>
    <cellStyle name="Normal 9 5 4 2 3" xfId="12084" xr:uid="{0200173E-7949-44A5-950A-812F3E1CC609}"/>
    <cellStyle name="Normal 9 5 4 3" xfId="5728" xr:uid="{00000000-0005-0000-0000-000065200000}"/>
    <cellStyle name="Normal 9 5 4 3 2" xfId="14157" xr:uid="{33DF45A3-9371-487B-B0E3-90885F1C913F}"/>
    <cellStyle name="Normal 9 5 4 4" xfId="9939" xr:uid="{0EFD1534-24DA-4D2F-8EEC-D37048FA3C2E}"/>
    <cellStyle name="Normal 9 5 5" xfId="1832" xr:uid="{00000000-0005-0000-0000-000066200000}"/>
    <cellStyle name="Normal 9 5 5 2" xfId="4062" xr:uid="{00000000-0005-0000-0000-000067200000}"/>
    <cellStyle name="Normal 9 5 5 2 2" xfId="8286" xr:uid="{00000000-0005-0000-0000-000068200000}"/>
    <cellStyle name="Normal 9 5 5 2 2 2" xfId="16715" xr:uid="{E08418B4-0491-4273-817D-6C7D37DC4711}"/>
    <cellStyle name="Normal 9 5 5 2 3" xfId="12497" xr:uid="{6BB9C379-BD6B-45AB-9B8B-399BB9F9A00E}"/>
    <cellStyle name="Normal 9 5 5 3" xfId="6141" xr:uid="{00000000-0005-0000-0000-000069200000}"/>
    <cellStyle name="Normal 9 5 5 3 2" xfId="14570" xr:uid="{B6AA1141-BFFB-4340-AD88-3D757AE2120E}"/>
    <cellStyle name="Normal 9 5 5 4" xfId="10352" xr:uid="{3CA5500E-FAD8-41BB-9B2D-1C02E5087C67}"/>
    <cellStyle name="Normal 9 5 6" xfId="2246" xr:uid="{00000000-0005-0000-0000-00006A200000}"/>
    <cellStyle name="Normal 9 5 6 2" xfId="4475" xr:uid="{00000000-0005-0000-0000-00006B200000}"/>
    <cellStyle name="Normal 9 5 6 2 2" xfId="8699" xr:uid="{00000000-0005-0000-0000-00006C200000}"/>
    <cellStyle name="Normal 9 5 6 2 2 2" xfId="17128" xr:uid="{FD045504-03C8-4970-BB67-408AB8CB2BFA}"/>
    <cellStyle name="Normal 9 5 6 2 3" xfId="12910" xr:uid="{CD16F055-2207-40F9-B05A-48DBF55FE905}"/>
    <cellStyle name="Normal 9 5 6 3" xfId="6554" xr:uid="{00000000-0005-0000-0000-00006D200000}"/>
    <cellStyle name="Normal 9 5 6 3 2" xfId="14983" xr:uid="{5AB15430-A5CF-484E-9F4B-325256BDB8D8}"/>
    <cellStyle name="Normal 9 5 6 4" xfId="10765" xr:uid="{327BD98E-0171-4FDF-B9EF-4DBACBFC1356}"/>
    <cellStyle name="Normal 9 5 7" xfId="2682" xr:uid="{00000000-0005-0000-0000-00006E200000}"/>
    <cellStyle name="Normal 9 5 7 2" xfId="6967" xr:uid="{00000000-0005-0000-0000-00006F200000}"/>
    <cellStyle name="Normal 9 5 7 2 2" xfId="15396" xr:uid="{7C072A2C-91AB-4AAF-9B84-E8F259702398}"/>
    <cellStyle name="Normal 9 5 7 3" xfId="11178" xr:uid="{AA641F4F-04BD-4C24-9385-B3837C648DAC}"/>
    <cellStyle name="Normal 9 5 8" xfId="4902" xr:uid="{00000000-0005-0000-0000-000070200000}"/>
    <cellStyle name="Normal 9 5 8 2" xfId="13331" xr:uid="{A17EF3CD-1770-4976-9C5A-34D108BA2F8E}"/>
    <cellStyle name="Normal 9 5 9" xfId="9113" xr:uid="{F46DDEB9-C78B-43BA-ADF1-DD7B6A6B1F83}"/>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2 2" xfId="15891" xr:uid="{6FD0F451-762C-445F-8A21-E4EA7FBED64D}"/>
    <cellStyle name="Normal 9 6 2 2 3" xfId="11673" xr:uid="{91E72CDD-9316-4DB6-940B-9CA7A9BA551C}"/>
    <cellStyle name="Normal 9 6 2 3" xfId="5317" xr:uid="{00000000-0005-0000-0000-000075200000}"/>
    <cellStyle name="Normal 9 6 2 3 2" xfId="13746" xr:uid="{07622E22-0669-4DFB-932E-55EA4E1DB2E0}"/>
    <cellStyle name="Normal 9 6 2 4" xfId="9528" xr:uid="{3B37D881-D271-40F0-B845-E06BA7D873FD}"/>
    <cellStyle name="Normal 9 6 3" xfId="1421" xr:uid="{00000000-0005-0000-0000-000076200000}"/>
    <cellStyle name="Normal 9 6 3 2" xfId="3651" xr:uid="{00000000-0005-0000-0000-000077200000}"/>
    <cellStyle name="Normal 9 6 3 2 2" xfId="7875" xr:uid="{00000000-0005-0000-0000-000078200000}"/>
    <cellStyle name="Normal 9 6 3 2 2 2" xfId="16304" xr:uid="{4C731E16-CFF1-4E22-A6D7-7F1982785AFE}"/>
    <cellStyle name="Normal 9 6 3 2 3" xfId="12086" xr:uid="{CC63A26C-F38C-4964-B22F-F9D4F249F804}"/>
    <cellStyle name="Normal 9 6 3 3" xfId="5730" xr:uid="{00000000-0005-0000-0000-000079200000}"/>
    <cellStyle name="Normal 9 6 3 3 2" xfId="14159" xr:uid="{548A266B-B184-484C-B77B-EC3C595BF2E1}"/>
    <cellStyle name="Normal 9 6 3 4" xfId="9941" xr:uid="{FDD3ACCD-4621-4B2D-947B-DD8A14ED9D0B}"/>
    <cellStyle name="Normal 9 6 4" xfId="1834" xr:uid="{00000000-0005-0000-0000-00007A200000}"/>
    <cellStyle name="Normal 9 6 4 2" xfId="4064" xr:uid="{00000000-0005-0000-0000-00007B200000}"/>
    <cellStyle name="Normal 9 6 4 2 2" xfId="8288" xr:uid="{00000000-0005-0000-0000-00007C200000}"/>
    <cellStyle name="Normal 9 6 4 2 2 2" xfId="16717" xr:uid="{7EB7D777-CBFD-43B3-9620-1B5D75809C6E}"/>
    <cellStyle name="Normal 9 6 4 2 3" xfId="12499" xr:uid="{42EFCF90-0249-4AD1-B823-C5C4FC6AC378}"/>
    <cellStyle name="Normal 9 6 4 3" xfId="6143" xr:uid="{00000000-0005-0000-0000-00007D200000}"/>
    <cellStyle name="Normal 9 6 4 3 2" xfId="14572" xr:uid="{6A8A6205-47E3-4830-B1B9-2647EA8AFC0F}"/>
    <cellStyle name="Normal 9 6 4 4" xfId="10354" xr:uid="{B98584ED-55FC-4772-8F3A-0708A683A1D7}"/>
    <cellStyle name="Normal 9 6 5" xfId="2248" xr:uid="{00000000-0005-0000-0000-00007E200000}"/>
    <cellStyle name="Normal 9 6 5 2" xfId="4477" xr:uid="{00000000-0005-0000-0000-00007F200000}"/>
    <cellStyle name="Normal 9 6 5 2 2" xfId="8701" xr:uid="{00000000-0005-0000-0000-000080200000}"/>
    <cellStyle name="Normal 9 6 5 2 2 2" xfId="17130" xr:uid="{BD6FF2E5-4FD9-4730-BA20-FB0A32FAC4E3}"/>
    <cellStyle name="Normal 9 6 5 2 3" xfId="12912" xr:uid="{FA8E5A64-71C5-4098-9E6A-6A0FEA49662C}"/>
    <cellStyle name="Normal 9 6 5 3" xfId="6556" xr:uid="{00000000-0005-0000-0000-000081200000}"/>
    <cellStyle name="Normal 9 6 5 3 2" xfId="14985" xr:uid="{DE69A774-9A6A-46D7-A39C-66F776A68E75}"/>
    <cellStyle name="Normal 9 6 5 4" xfId="10767" xr:uid="{0E8D6151-B001-4834-BE8B-C77DA00813A6}"/>
    <cellStyle name="Normal 9 6 6" xfId="2684" xr:uid="{00000000-0005-0000-0000-000082200000}"/>
    <cellStyle name="Normal 9 6 6 2" xfId="6969" xr:uid="{00000000-0005-0000-0000-000083200000}"/>
    <cellStyle name="Normal 9 6 6 2 2" xfId="15398" xr:uid="{B8E3B53B-9381-4D1B-88FA-3ADFA5753CCB}"/>
    <cellStyle name="Normal 9 6 6 3" xfId="11180" xr:uid="{7992E76C-A6A9-4FF4-A96A-D39478C1342E}"/>
    <cellStyle name="Normal 9 6 7" xfId="4904" xr:uid="{00000000-0005-0000-0000-000084200000}"/>
    <cellStyle name="Normal 9 6 7 2" xfId="13333" xr:uid="{B7F46606-43C6-4372-9944-B583DD389B76}"/>
    <cellStyle name="Normal 9 6 8" xfId="9115" xr:uid="{EEF53346-6383-4167-AC9A-BC3EDD3B94C2}"/>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2 2" xfId="15479" xr:uid="{860BEA8F-1F59-4983-937A-EA3892B7E2E8}"/>
    <cellStyle name="Note 2 2 10 3" xfId="11261" xr:uid="{56657DFC-8AA5-4F4A-8A43-F1A574BBBF7B}"/>
    <cellStyle name="Note 2 2 11" xfId="4905" xr:uid="{00000000-0005-0000-0000-000093200000}"/>
    <cellStyle name="Note 2 2 11 2" xfId="13334" xr:uid="{ED72B43D-3A46-4B55-AFBD-CA36AC8A14C0}"/>
    <cellStyle name="Note 2 2 12" xfId="9116" xr:uid="{1FA5AF86-5956-4FF7-9C8D-A068B37690F6}"/>
    <cellStyle name="Note 2 2 2" xfId="547" xr:uid="{00000000-0005-0000-0000-000094200000}"/>
    <cellStyle name="Note 2 2 2 10" xfId="4906" xr:uid="{00000000-0005-0000-0000-000095200000}"/>
    <cellStyle name="Note 2 2 2 10 2" xfId="13335" xr:uid="{34D2FFAE-346A-4641-AE60-D68790C069BC}"/>
    <cellStyle name="Note 2 2 2 11" xfId="9117" xr:uid="{5821849A-FF7E-4B29-BC15-82C4D0ECF002}"/>
    <cellStyle name="Note 2 2 2 2" xfId="548" xr:uid="{00000000-0005-0000-0000-000096200000}"/>
    <cellStyle name="Note 2 2 2 2 10" xfId="9118" xr:uid="{ADDF406E-A97F-4F7B-AED5-3D33B135CB65}"/>
    <cellStyle name="Note 2 2 2 2 2" xfId="1009" xr:uid="{00000000-0005-0000-0000-000097200000}"/>
    <cellStyle name="Note 2 2 2 2 2 2" xfId="3241" xr:uid="{00000000-0005-0000-0000-000098200000}"/>
    <cellStyle name="Note 2 2 2 2 2 2 2" xfId="7465" xr:uid="{00000000-0005-0000-0000-000099200000}"/>
    <cellStyle name="Note 2 2 2 2 2 2 2 2" xfId="15894" xr:uid="{913668D4-6F8F-4723-8802-122198C00C61}"/>
    <cellStyle name="Note 2 2 2 2 2 2 3" xfId="11676" xr:uid="{CB06905E-D091-4AAF-B3E1-BB6514089EE7}"/>
    <cellStyle name="Note 2 2 2 2 2 3" xfId="5320" xr:uid="{00000000-0005-0000-0000-00009A200000}"/>
    <cellStyle name="Note 2 2 2 2 2 3 2" xfId="13749" xr:uid="{1A645A2C-3567-467B-AACE-736304B1A35A}"/>
    <cellStyle name="Note 2 2 2 2 2 4" xfId="9531" xr:uid="{6F9290AB-13B5-431B-949F-9F309808525C}"/>
    <cellStyle name="Note 2 2 2 2 3" xfId="1424" xr:uid="{00000000-0005-0000-0000-00009B200000}"/>
    <cellStyle name="Note 2 2 2 2 3 2" xfId="3654" xr:uid="{00000000-0005-0000-0000-00009C200000}"/>
    <cellStyle name="Note 2 2 2 2 3 2 2" xfId="7878" xr:uid="{00000000-0005-0000-0000-00009D200000}"/>
    <cellStyle name="Note 2 2 2 2 3 2 2 2" xfId="16307" xr:uid="{8343C499-B782-4A8F-8B75-3A0721451E37}"/>
    <cellStyle name="Note 2 2 2 2 3 2 3" xfId="12089" xr:uid="{DA7A3D74-8B97-45F2-8575-112810CF8795}"/>
    <cellStyle name="Note 2 2 2 2 3 3" xfId="5733" xr:uid="{00000000-0005-0000-0000-00009E200000}"/>
    <cellStyle name="Note 2 2 2 2 3 3 2" xfId="14162" xr:uid="{4AA403F9-F099-4C91-B489-F36519E8880E}"/>
    <cellStyle name="Note 2 2 2 2 3 4" xfId="9944" xr:uid="{99E99F6D-46CF-4692-B9B2-5C76B4BCB472}"/>
    <cellStyle name="Note 2 2 2 2 4" xfId="1838" xr:uid="{00000000-0005-0000-0000-00009F200000}"/>
    <cellStyle name="Note 2 2 2 2 4 2" xfId="4067" xr:uid="{00000000-0005-0000-0000-0000A0200000}"/>
    <cellStyle name="Note 2 2 2 2 4 2 2" xfId="8291" xr:uid="{00000000-0005-0000-0000-0000A1200000}"/>
    <cellStyle name="Note 2 2 2 2 4 2 2 2" xfId="16720" xr:uid="{A516A319-2B21-4108-B003-4FBF926929FB}"/>
    <cellStyle name="Note 2 2 2 2 4 2 3" xfId="12502" xr:uid="{79FC18BB-42BE-4A3B-AD76-D29DF6C300F5}"/>
    <cellStyle name="Note 2 2 2 2 4 3" xfId="6146" xr:uid="{00000000-0005-0000-0000-0000A2200000}"/>
    <cellStyle name="Note 2 2 2 2 4 3 2" xfId="14575" xr:uid="{925BAAF0-BA65-42BF-8338-D44B7B4F7A3B}"/>
    <cellStyle name="Note 2 2 2 2 4 4" xfId="10357" xr:uid="{039D4A3A-6130-4FCF-84C1-92ED9F01B739}"/>
    <cellStyle name="Note 2 2 2 2 5" xfId="2251" xr:uid="{00000000-0005-0000-0000-0000A3200000}"/>
    <cellStyle name="Note 2 2 2 2 5 2" xfId="4480" xr:uid="{00000000-0005-0000-0000-0000A4200000}"/>
    <cellStyle name="Note 2 2 2 2 5 2 2" xfId="8704" xr:uid="{00000000-0005-0000-0000-0000A5200000}"/>
    <cellStyle name="Note 2 2 2 2 5 2 2 2" xfId="17133" xr:uid="{14933D43-4644-4331-A3F8-39D5E0B725C3}"/>
    <cellStyle name="Note 2 2 2 2 5 2 3" xfId="12915" xr:uid="{EC74A420-267A-4A30-AD6B-E2CC6ABF95D3}"/>
    <cellStyle name="Note 2 2 2 2 5 3" xfId="6559" xr:uid="{00000000-0005-0000-0000-0000A6200000}"/>
    <cellStyle name="Note 2 2 2 2 5 3 2" xfId="14988" xr:uid="{A634F693-0749-48B8-9783-08791A96B6A0}"/>
    <cellStyle name="Note 2 2 2 2 5 4" xfId="10770" xr:uid="{225FE0F5-632C-4BC9-B14D-AE1E04D27095}"/>
    <cellStyle name="Note 2 2 2 2 6" xfId="2687" xr:uid="{00000000-0005-0000-0000-0000A7200000}"/>
    <cellStyle name="Note 2 2 2 2 6 2" xfId="6972" xr:uid="{00000000-0005-0000-0000-0000A8200000}"/>
    <cellStyle name="Note 2 2 2 2 6 2 2" xfId="15401" xr:uid="{8317EF92-9072-405E-9D79-27C95724CC9A}"/>
    <cellStyle name="Note 2 2 2 2 6 3" xfId="11183" xr:uid="{28BBB02B-8A61-4713-8468-CA24C1523968}"/>
    <cellStyle name="Note 2 2 2 2 7" xfId="2746" xr:uid="{00000000-0005-0000-0000-0000A9200000}"/>
    <cellStyle name="Note 2 2 2 2 8" xfId="2827" xr:uid="{00000000-0005-0000-0000-0000AA200000}"/>
    <cellStyle name="Note 2 2 2 2 8 2" xfId="7052" xr:uid="{00000000-0005-0000-0000-0000AB200000}"/>
    <cellStyle name="Note 2 2 2 2 8 2 2" xfId="15481" xr:uid="{902E87DE-6593-40B4-AD52-9EE7AD7DD57E}"/>
    <cellStyle name="Note 2 2 2 2 8 3" xfId="11263" xr:uid="{E054A6B6-E6E3-487A-B2B3-A4D88B7D8557}"/>
    <cellStyle name="Note 2 2 2 2 9" xfId="4907" xr:uid="{00000000-0005-0000-0000-0000AC200000}"/>
    <cellStyle name="Note 2 2 2 2 9 2" xfId="13336" xr:uid="{619ECBFA-DFA3-49C8-84C9-EFB714CA1FAB}"/>
    <cellStyle name="Note 2 2 2 3" xfId="1008" xr:uid="{00000000-0005-0000-0000-0000AD200000}"/>
    <cellStyle name="Note 2 2 2 3 2" xfId="3240" xr:uid="{00000000-0005-0000-0000-0000AE200000}"/>
    <cellStyle name="Note 2 2 2 3 2 2" xfId="7464" xr:uid="{00000000-0005-0000-0000-0000AF200000}"/>
    <cellStyle name="Note 2 2 2 3 2 2 2" xfId="15893" xr:uid="{42982159-560D-4795-B765-18FB1C3940CB}"/>
    <cellStyle name="Note 2 2 2 3 2 3" xfId="11675" xr:uid="{A9D85BB8-92F1-46AD-AE06-49DDC1BBB324}"/>
    <cellStyle name="Note 2 2 2 3 3" xfId="5319" xr:uid="{00000000-0005-0000-0000-0000B0200000}"/>
    <cellStyle name="Note 2 2 2 3 3 2" xfId="13748" xr:uid="{3E3EC65F-E8F9-4C2C-91F4-1B9EC0573FB8}"/>
    <cellStyle name="Note 2 2 2 3 4" xfId="9530" xr:uid="{EA683438-E398-412C-A595-EA96959F5881}"/>
    <cellStyle name="Note 2 2 2 4" xfId="1423" xr:uid="{00000000-0005-0000-0000-0000B1200000}"/>
    <cellStyle name="Note 2 2 2 4 2" xfId="3653" xr:uid="{00000000-0005-0000-0000-0000B2200000}"/>
    <cellStyle name="Note 2 2 2 4 2 2" xfId="7877" xr:uid="{00000000-0005-0000-0000-0000B3200000}"/>
    <cellStyle name="Note 2 2 2 4 2 2 2" xfId="16306" xr:uid="{3395AA15-F69A-4568-83A5-6FBDB4DF27C5}"/>
    <cellStyle name="Note 2 2 2 4 2 3" xfId="12088" xr:uid="{F3A97C62-4995-4AB7-83FC-14EEB212E85C}"/>
    <cellStyle name="Note 2 2 2 4 3" xfId="5732" xr:uid="{00000000-0005-0000-0000-0000B4200000}"/>
    <cellStyle name="Note 2 2 2 4 3 2" xfId="14161" xr:uid="{28BC3792-722D-47F5-8724-C6BF423EEBBE}"/>
    <cellStyle name="Note 2 2 2 4 4" xfId="9943" xr:uid="{D9311D5E-593E-424D-9E0F-5C5EE7AD0120}"/>
    <cellStyle name="Note 2 2 2 5" xfId="1837" xr:uid="{00000000-0005-0000-0000-0000B5200000}"/>
    <cellStyle name="Note 2 2 2 5 2" xfId="4066" xr:uid="{00000000-0005-0000-0000-0000B6200000}"/>
    <cellStyle name="Note 2 2 2 5 2 2" xfId="8290" xr:uid="{00000000-0005-0000-0000-0000B7200000}"/>
    <cellStyle name="Note 2 2 2 5 2 2 2" xfId="16719" xr:uid="{8E5A4125-0F5E-400E-A444-E0FBC0A0B4A3}"/>
    <cellStyle name="Note 2 2 2 5 2 3" xfId="12501" xr:uid="{0F365042-F3AC-48FB-91F1-B8B1C636A9B1}"/>
    <cellStyle name="Note 2 2 2 5 3" xfId="6145" xr:uid="{00000000-0005-0000-0000-0000B8200000}"/>
    <cellStyle name="Note 2 2 2 5 3 2" xfId="14574" xr:uid="{0C5E948F-60F9-4473-823B-4232FABEB2FF}"/>
    <cellStyle name="Note 2 2 2 5 4" xfId="10356" xr:uid="{48573CF6-8F4A-42A1-8088-D5745C3B49DC}"/>
    <cellStyle name="Note 2 2 2 6" xfId="2250" xr:uid="{00000000-0005-0000-0000-0000B9200000}"/>
    <cellStyle name="Note 2 2 2 6 2" xfId="4479" xr:uid="{00000000-0005-0000-0000-0000BA200000}"/>
    <cellStyle name="Note 2 2 2 6 2 2" xfId="8703" xr:uid="{00000000-0005-0000-0000-0000BB200000}"/>
    <cellStyle name="Note 2 2 2 6 2 2 2" xfId="17132" xr:uid="{E4BCA4BD-2C16-482D-9476-70A93341C7DC}"/>
    <cellStyle name="Note 2 2 2 6 2 3" xfId="12914" xr:uid="{E75D3B4B-ACFA-4DD5-9597-CC7C0C528CAF}"/>
    <cellStyle name="Note 2 2 2 6 3" xfId="6558" xr:uid="{00000000-0005-0000-0000-0000BC200000}"/>
    <cellStyle name="Note 2 2 2 6 3 2" xfId="14987" xr:uid="{B35C4B92-4839-4DA4-9CCB-532167A88A12}"/>
    <cellStyle name="Note 2 2 2 6 4" xfId="10769" xr:uid="{E1A98FD8-6F94-4331-A280-7F85428FE1EB}"/>
    <cellStyle name="Note 2 2 2 7" xfId="2686" xr:uid="{00000000-0005-0000-0000-0000BD200000}"/>
    <cellStyle name="Note 2 2 2 7 2" xfId="6971" xr:uid="{00000000-0005-0000-0000-0000BE200000}"/>
    <cellStyle name="Note 2 2 2 7 2 2" xfId="15400" xr:uid="{EFBA5FBE-9949-4C4E-86E9-9861A6C08936}"/>
    <cellStyle name="Note 2 2 2 7 3" xfId="11182" xr:uid="{F4476DB9-926D-4AB3-BBBC-5A850699656D}"/>
    <cellStyle name="Note 2 2 2 8" xfId="2745" xr:uid="{00000000-0005-0000-0000-0000BF200000}"/>
    <cellStyle name="Note 2 2 2 9" xfId="2826" xr:uid="{00000000-0005-0000-0000-0000C0200000}"/>
    <cellStyle name="Note 2 2 2 9 2" xfId="7051" xr:uid="{00000000-0005-0000-0000-0000C1200000}"/>
    <cellStyle name="Note 2 2 2 9 2 2" xfId="15480" xr:uid="{72F8C4FB-A549-46FC-8416-3F498364DEF1}"/>
    <cellStyle name="Note 2 2 2 9 3" xfId="11262" xr:uid="{EC4B656E-6FFF-4DB6-A98A-1CA377B787FB}"/>
    <cellStyle name="Note 2 2 3" xfId="549" xr:uid="{00000000-0005-0000-0000-0000C2200000}"/>
    <cellStyle name="Note 2 2 3 10" xfId="9119" xr:uid="{899EEE16-9D2E-4B56-B7A8-83E7352C63B9}"/>
    <cellStyle name="Note 2 2 3 2" xfId="1010" xr:uid="{00000000-0005-0000-0000-0000C3200000}"/>
    <cellStyle name="Note 2 2 3 2 2" xfId="3242" xr:uid="{00000000-0005-0000-0000-0000C4200000}"/>
    <cellStyle name="Note 2 2 3 2 2 2" xfId="7466" xr:uid="{00000000-0005-0000-0000-0000C5200000}"/>
    <cellStyle name="Note 2 2 3 2 2 2 2" xfId="15895" xr:uid="{39B1E0EB-FDCE-4228-BE79-C834EE62ED9D}"/>
    <cellStyle name="Note 2 2 3 2 2 3" xfId="11677" xr:uid="{DACEFE6D-3A19-4D51-A1A4-F5332DC80FE0}"/>
    <cellStyle name="Note 2 2 3 2 3" xfId="5321" xr:uid="{00000000-0005-0000-0000-0000C6200000}"/>
    <cellStyle name="Note 2 2 3 2 3 2" xfId="13750" xr:uid="{E64933D7-B104-4C2E-A967-C0AE9B6CDF8C}"/>
    <cellStyle name="Note 2 2 3 2 4" xfId="9532" xr:uid="{EB9B217B-C83D-45B8-8650-0A86786B35A1}"/>
    <cellStyle name="Note 2 2 3 3" xfId="1425" xr:uid="{00000000-0005-0000-0000-0000C7200000}"/>
    <cellStyle name="Note 2 2 3 3 2" xfId="3655" xr:uid="{00000000-0005-0000-0000-0000C8200000}"/>
    <cellStyle name="Note 2 2 3 3 2 2" xfId="7879" xr:uid="{00000000-0005-0000-0000-0000C9200000}"/>
    <cellStyle name="Note 2 2 3 3 2 2 2" xfId="16308" xr:uid="{819B9AB4-F372-4AAB-91B6-E0806F831896}"/>
    <cellStyle name="Note 2 2 3 3 2 3" xfId="12090" xr:uid="{4AA8B5EE-01C1-4034-8ED9-E4960CF53916}"/>
    <cellStyle name="Note 2 2 3 3 3" xfId="5734" xr:uid="{00000000-0005-0000-0000-0000CA200000}"/>
    <cellStyle name="Note 2 2 3 3 3 2" xfId="14163" xr:uid="{39877C87-7519-47D7-B621-4114AC278ACB}"/>
    <cellStyle name="Note 2 2 3 3 4" xfId="9945" xr:uid="{29869657-FFD6-43DD-AB86-322EF8E2B4E0}"/>
    <cellStyle name="Note 2 2 3 4" xfId="1839" xr:uid="{00000000-0005-0000-0000-0000CB200000}"/>
    <cellStyle name="Note 2 2 3 4 2" xfId="4068" xr:uid="{00000000-0005-0000-0000-0000CC200000}"/>
    <cellStyle name="Note 2 2 3 4 2 2" xfId="8292" xr:uid="{00000000-0005-0000-0000-0000CD200000}"/>
    <cellStyle name="Note 2 2 3 4 2 2 2" xfId="16721" xr:uid="{21506D04-0977-4B95-A62D-EDA75ADAFB99}"/>
    <cellStyle name="Note 2 2 3 4 2 3" xfId="12503" xr:uid="{862A4488-FFE2-4421-9A8F-AF7923C4EA7D}"/>
    <cellStyle name="Note 2 2 3 4 3" xfId="6147" xr:uid="{00000000-0005-0000-0000-0000CE200000}"/>
    <cellStyle name="Note 2 2 3 4 3 2" xfId="14576" xr:uid="{CDC723C1-A2A9-4F17-88D7-86C7863FF621}"/>
    <cellStyle name="Note 2 2 3 4 4" xfId="10358" xr:uid="{66DBE128-156A-4195-9469-B7F7FBC69D54}"/>
    <cellStyle name="Note 2 2 3 5" xfId="2252" xr:uid="{00000000-0005-0000-0000-0000CF200000}"/>
    <cellStyle name="Note 2 2 3 5 2" xfId="4481" xr:uid="{00000000-0005-0000-0000-0000D0200000}"/>
    <cellStyle name="Note 2 2 3 5 2 2" xfId="8705" xr:uid="{00000000-0005-0000-0000-0000D1200000}"/>
    <cellStyle name="Note 2 2 3 5 2 2 2" xfId="17134" xr:uid="{A34F58A8-512D-438D-AAB0-7C2BA6956C54}"/>
    <cellStyle name="Note 2 2 3 5 2 3" xfId="12916" xr:uid="{A8A8496F-CF47-4D7F-9B9B-411CD37D34B6}"/>
    <cellStyle name="Note 2 2 3 5 3" xfId="6560" xr:uid="{00000000-0005-0000-0000-0000D2200000}"/>
    <cellStyle name="Note 2 2 3 5 3 2" xfId="14989" xr:uid="{C5D84C7F-5B4B-45CE-95A9-D42ACA029C5F}"/>
    <cellStyle name="Note 2 2 3 5 4" xfId="10771" xr:uid="{2919C01C-105E-495F-9B83-E66E80974597}"/>
    <cellStyle name="Note 2 2 3 6" xfId="2688" xr:uid="{00000000-0005-0000-0000-0000D3200000}"/>
    <cellStyle name="Note 2 2 3 6 2" xfId="6973" xr:uid="{00000000-0005-0000-0000-0000D4200000}"/>
    <cellStyle name="Note 2 2 3 6 2 2" xfId="15402" xr:uid="{FD2D7073-82E5-4031-9D2D-E154EF0A3C79}"/>
    <cellStyle name="Note 2 2 3 6 3" xfId="11184" xr:uid="{27380508-B30D-4C8A-972C-EF8950C86EE3}"/>
    <cellStyle name="Note 2 2 3 7" xfId="2747" xr:uid="{00000000-0005-0000-0000-0000D5200000}"/>
    <cellStyle name="Note 2 2 3 8" xfId="2828" xr:uid="{00000000-0005-0000-0000-0000D6200000}"/>
    <cellStyle name="Note 2 2 3 8 2" xfId="7053" xr:uid="{00000000-0005-0000-0000-0000D7200000}"/>
    <cellStyle name="Note 2 2 3 8 2 2" xfId="15482" xr:uid="{CF1ED22D-C062-490F-838F-2116305BE61B}"/>
    <cellStyle name="Note 2 2 3 8 3" xfId="11264" xr:uid="{FD4EAD48-1A5F-41BC-BD4E-30424A08459C}"/>
    <cellStyle name="Note 2 2 3 9" xfId="4908" xr:uid="{00000000-0005-0000-0000-0000D8200000}"/>
    <cellStyle name="Note 2 2 3 9 2" xfId="13337" xr:uid="{EB3E249D-018B-47A3-ABC1-56AF51BC623F}"/>
    <cellStyle name="Note 2 2 4" xfId="1007" xr:uid="{00000000-0005-0000-0000-0000D9200000}"/>
    <cellStyle name="Note 2 2 4 2" xfId="3239" xr:uid="{00000000-0005-0000-0000-0000DA200000}"/>
    <cellStyle name="Note 2 2 4 2 2" xfId="7463" xr:uid="{00000000-0005-0000-0000-0000DB200000}"/>
    <cellStyle name="Note 2 2 4 2 2 2" xfId="15892" xr:uid="{F8D7C93E-A5D8-48AC-9122-B4DD81FFA76F}"/>
    <cellStyle name="Note 2 2 4 2 3" xfId="11674" xr:uid="{97128B5E-DEE6-4C3B-9226-D8CEE35F9562}"/>
    <cellStyle name="Note 2 2 4 3" xfId="5318" xr:uid="{00000000-0005-0000-0000-0000DC200000}"/>
    <cellStyle name="Note 2 2 4 3 2" xfId="13747" xr:uid="{F2335D34-54A8-49D8-9579-DF73CBD3BF45}"/>
    <cellStyle name="Note 2 2 4 4" xfId="9529" xr:uid="{E100D67C-2F3B-4346-BB3A-D94DBE248A45}"/>
    <cellStyle name="Note 2 2 5" xfId="1422" xr:uid="{00000000-0005-0000-0000-0000DD200000}"/>
    <cellStyle name="Note 2 2 5 2" xfId="3652" xr:uid="{00000000-0005-0000-0000-0000DE200000}"/>
    <cellStyle name="Note 2 2 5 2 2" xfId="7876" xr:uid="{00000000-0005-0000-0000-0000DF200000}"/>
    <cellStyle name="Note 2 2 5 2 2 2" xfId="16305" xr:uid="{260A402D-DD37-47FA-9DC0-07679CE9CA99}"/>
    <cellStyle name="Note 2 2 5 2 3" xfId="12087" xr:uid="{DAAC3F65-2B0F-46E0-A1D7-DEF4C42E13EF}"/>
    <cellStyle name="Note 2 2 5 3" xfId="5731" xr:uid="{00000000-0005-0000-0000-0000E0200000}"/>
    <cellStyle name="Note 2 2 5 3 2" xfId="14160" xr:uid="{2BD084DE-0EE4-4015-8168-9F48989A6BF2}"/>
    <cellStyle name="Note 2 2 5 4" xfId="9942" xr:uid="{1109D6F9-331E-4866-AA26-7C516876A64B}"/>
    <cellStyle name="Note 2 2 6" xfId="1836" xr:uid="{00000000-0005-0000-0000-0000E1200000}"/>
    <cellStyle name="Note 2 2 6 2" xfId="4065" xr:uid="{00000000-0005-0000-0000-0000E2200000}"/>
    <cellStyle name="Note 2 2 6 2 2" xfId="8289" xr:uid="{00000000-0005-0000-0000-0000E3200000}"/>
    <cellStyle name="Note 2 2 6 2 2 2" xfId="16718" xr:uid="{373BF4C7-BA77-47D2-A0E7-292C4B9521F8}"/>
    <cellStyle name="Note 2 2 6 2 3" xfId="12500" xr:uid="{EB36431A-AAF5-4AD0-9AA6-48FD29CF1E27}"/>
    <cellStyle name="Note 2 2 6 3" xfId="6144" xr:uid="{00000000-0005-0000-0000-0000E4200000}"/>
    <cellStyle name="Note 2 2 6 3 2" xfId="14573" xr:uid="{3AFC21FA-A5F1-4D09-8911-75F32FECD82A}"/>
    <cellStyle name="Note 2 2 6 4" xfId="10355" xr:uid="{3BF9CB7F-9950-48F5-A25D-8B0160F3A5B3}"/>
    <cellStyle name="Note 2 2 7" xfId="2249" xr:uid="{00000000-0005-0000-0000-0000E5200000}"/>
    <cellStyle name="Note 2 2 7 2" xfId="4478" xr:uid="{00000000-0005-0000-0000-0000E6200000}"/>
    <cellStyle name="Note 2 2 7 2 2" xfId="8702" xr:uid="{00000000-0005-0000-0000-0000E7200000}"/>
    <cellStyle name="Note 2 2 7 2 2 2" xfId="17131" xr:uid="{BA9C10A1-ED7F-440F-BC4E-071948F5B51C}"/>
    <cellStyle name="Note 2 2 7 2 3" xfId="12913" xr:uid="{239B046B-D979-46AB-913D-0A8ED7AF7FA8}"/>
    <cellStyle name="Note 2 2 7 3" xfId="6557" xr:uid="{00000000-0005-0000-0000-0000E8200000}"/>
    <cellStyle name="Note 2 2 7 3 2" xfId="14986" xr:uid="{119A99C3-225E-4DA7-8410-2204DD95F556}"/>
    <cellStyle name="Note 2 2 7 4" xfId="10768" xr:uid="{631B2B55-4F7F-4620-BD37-963C52163147}"/>
    <cellStyle name="Note 2 2 8" xfId="2685" xr:uid="{00000000-0005-0000-0000-0000E9200000}"/>
    <cellStyle name="Note 2 2 8 2" xfId="6970" xr:uid="{00000000-0005-0000-0000-0000EA200000}"/>
    <cellStyle name="Note 2 2 8 2 2" xfId="15399" xr:uid="{0CF8C6A8-439A-40C3-8301-74E4DA869531}"/>
    <cellStyle name="Note 2 2 8 3" xfId="11181" xr:uid="{4ECF811A-8101-4FB3-A70E-0BF5E46EC7C5}"/>
    <cellStyle name="Note 2 2 9" xfId="2744" xr:uid="{00000000-0005-0000-0000-0000EB200000}"/>
    <cellStyle name="Note 2 3" xfId="550" xr:uid="{00000000-0005-0000-0000-0000EC200000}"/>
    <cellStyle name="Note 2 3 10" xfId="4909" xr:uid="{00000000-0005-0000-0000-0000ED200000}"/>
    <cellStyle name="Note 2 3 10 2" xfId="13338" xr:uid="{899F816C-6347-4A25-BB83-9ED8C20BA935}"/>
    <cellStyle name="Note 2 3 11" xfId="9120" xr:uid="{F4AFF643-C891-464D-BDC0-28EAC7769C58}"/>
    <cellStyle name="Note 2 3 2" xfId="551" xr:uid="{00000000-0005-0000-0000-0000EE200000}"/>
    <cellStyle name="Note 2 3 2 10" xfId="9121" xr:uid="{228EF4E6-6C72-4A5B-8C2F-BB283AF8CCCB}"/>
    <cellStyle name="Note 2 3 2 2" xfId="1012" xr:uid="{00000000-0005-0000-0000-0000EF200000}"/>
    <cellStyle name="Note 2 3 2 2 2" xfId="3244" xr:uid="{00000000-0005-0000-0000-0000F0200000}"/>
    <cellStyle name="Note 2 3 2 2 2 2" xfId="7468" xr:uid="{00000000-0005-0000-0000-0000F1200000}"/>
    <cellStyle name="Note 2 3 2 2 2 2 2" xfId="15897" xr:uid="{6E15250B-438B-421E-837C-428839796E51}"/>
    <cellStyle name="Note 2 3 2 2 2 3" xfId="11679" xr:uid="{29568963-3707-42CD-9626-0D2A4066CFF7}"/>
    <cellStyle name="Note 2 3 2 2 3" xfId="5323" xr:uid="{00000000-0005-0000-0000-0000F2200000}"/>
    <cellStyle name="Note 2 3 2 2 3 2" xfId="13752" xr:uid="{26F4C771-A0A1-4314-B886-EF14F981715C}"/>
    <cellStyle name="Note 2 3 2 2 4" xfId="9534" xr:uid="{F9FADD28-41CA-4C48-9280-5B6D849BCC9B}"/>
    <cellStyle name="Note 2 3 2 3" xfId="1427" xr:uid="{00000000-0005-0000-0000-0000F3200000}"/>
    <cellStyle name="Note 2 3 2 3 2" xfId="3657" xr:uid="{00000000-0005-0000-0000-0000F4200000}"/>
    <cellStyle name="Note 2 3 2 3 2 2" xfId="7881" xr:uid="{00000000-0005-0000-0000-0000F5200000}"/>
    <cellStyle name="Note 2 3 2 3 2 2 2" xfId="16310" xr:uid="{B116BB7C-72FF-4B64-982F-8AEB6FD3114A}"/>
    <cellStyle name="Note 2 3 2 3 2 3" xfId="12092" xr:uid="{1B5E2EE6-7AF2-4491-82D4-5912814814F1}"/>
    <cellStyle name="Note 2 3 2 3 3" xfId="5736" xr:uid="{00000000-0005-0000-0000-0000F6200000}"/>
    <cellStyle name="Note 2 3 2 3 3 2" xfId="14165" xr:uid="{CB7AD875-AFBA-4249-A410-52D527751CDE}"/>
    <cellStyle name="Note 2 3 2 3 4" xfId="9947" xr:uid="{581445AE-FBEE-44C8-825C-70AE41CF8BDD}"/>
    <cellStyle name="Note 2 3 2 4" xfId="1841" xr:uid="{00000000-0005-0000-0000-0000F7200000}"/>
    <cellStyle name="Note 2 3 2 4 2" xfId="4070" xr:uid="{00000000-0005-0000-0000-0000F8200000}"/>
    <cellStyle name="Note 2 3 2 4 2 2" xfId="8294" xr:uid="{00000000-0005-0000-0000-0000F9200000}"/>
    <cellStyle name="Note 2 3 2 4 2 2 2" xfId="16723" xr:uid="{611B2533-0677-4EB9-8499-4E4E255A56E0}"/>
    <cellStyle name="Note 2 3 2 4 2 3" xfId="12505" xr:uid="{571331C8-813C-40E9-A423-1398501886D5}"/>
    <cellStyle name="Note 2 3 2 4 3" xfId="6149" xr:uid="{00000000-0005-0000-0000-0000FA200000}"/>
    <cellStyle name="Note 2 3 2 4 3 2" xfId="14578" xr:uid="{DBE3642B-A293-4327-878A-B1C80A256199}"/>
    <cellStyle name="Note 2 3 2 4 4" xfId="10360" xr:uid="{EEDE388A-A54B-40FB-A97E-75C393D0BEB4}"/>
    <cellStyle name="Note 2 3 2 5" xfId="2254" xr:uid="{00000000-0005-0000-0000-0000FB200000}"/>
    <cellStyle name="Note 2 3 2 5 2" xfId="4483" xr:uid="{00000000-0005-0000-0000-0000FC200000}"/>
    <cellStyle name="Note 2 3 2 5 2 2" xfId="8707" xr:uid="{00000000-0005-0000-0000-0000FD200000}"/>
    <cellStyle name="Note 2 3 2 5 2 2 2" xfId="17136" xr:uid="{EF52AB12-C303-465A-832D-620F2EB4240E}"/>
    <cellStyle name="Note 2 3 2 5 2 3" xfId="12918" xr:uid="{5B3854BA-7D4E-4EF2-A070-0E326150544F}"/>
    <cellStyle name="Note 2 3 2 5 3" xfId="6562" xr:uid="{00000000-0005-0000-0000-0000FE200000}"/>
    <cellStyle name="Note 2 3 2 5 3 2" xfId="14991" xr:uid="{C9401FF7-32F7-45F0-99C4-B630A2F2E611}"/>
    <cellStyle name="Note 2 3 2 5 4" xfId="10773" xr:uid="{67D1310A-A087-4786-A79D-BCB66EF73E71}"/>
    <cellStyle name="Note 2 3 2 6" xfId="2690" xr:uid="{00000000-0005-0000-0000-0000FF200000}"/>
    <cellStyle name="Note 2 3 2 6 2" xfId="6975" xr:uid="{00000000-0005-0000-0000-000000210000}"/>
    <cellStyle name="Note 2 3 2 6 2 2" xfId="15404" xr:uid="{A818A7D6-BA4A-47F0-A9D8-28108CE4A5FF}"/>
    <cellStyle name="Note 2 3 2 6 3" xfId="11186" xr:uid="{723ACC39-8E04-44D1-9DAD-EEA254E259C9}"/>
    <cellStyle name="Note 2 3 2 7" xfId="2749" xr:uid="{00000000-0005-0000-0000-000001210000}"/>
    <cellStyle name="Note 2 3 2 8" xfId="2830" xr:uid="{00000000-0005-0000-0000-000002210000}"/>
    <cellStyle name="Note 2 3 2 8 2" xfId="7055" xr:uid="{00000000-0005-0000-0000-000003210000}"/>
    <cellStyle name="Note 2 3 2 8 2 2" xfId="15484" xr:uid="{EF4B7C63-8B81-4C77-BD04-0AEC6CAE4944}"/>
    <cellStyle name="Note 2 3 2 8 3" xfId="11266" xr:uid="{7354E3DE-88A3-40AB-9287-CF59738CD2F2}"/>
    <cellStyle name="Note 2 3 2 9" xfId="4910" xr:uid="{00000000-0005-0000-0000-000004210000}"/>
    <cellStyle name="Note 2 3 2 9 2" xfId="13339" xr:uid="{750E5C5B-4B11-47A2-AC79-DB4269977DAD}"/>
    <cellStyle name="Note 2 3 3" xfId="1011" xr:uid="{00000000-0005-0000-0000-000005210000}"/>
    <cellStyle name="Note 2 3 3 2" xfId="3243" xr:uid="{00000000-0005-0000-0000-000006210000}"/>
    <cellStyle name="Note 2 3 3 2 2" xfId="7467" xr:uid="{00000000-0005-0000-0000-000007210000}"/>
    <cellStyle name="Note 2 3 3 2 2 2" xfId="15896" xr:uid="{AD837AA4-C6FB-4EBE-9E61-5F48603BF0EE}"/>
    <cellStyle name="Note 2 3 3 2 3" xfId="11678" xr:uid="{4B5378BF-F0BE-414C-8756-F9E5E19181B7}"/>
    <cellStyle name="Note 2 3 3 3" xfId="5322" xr:uid="{00000000-0005-0000-0000-000008210000}"/>
    <cellStyle name="Note 2 3 3 3 2" xfId="13751" xr:uid="{38C89DF5-D2D6-48F4-A751-81CED9869E0E}"/>
    <cellStyle name="Note 2 3 3 4" xfId="9533" xr:uid="{E0C0BDF5-C67A-430B-A12D-DCED71455FF3}"/>
    <cellStyle name="Note 2 3 4" xfId="1426" xr:uid="{00000000-0005-0000-0000-000009210000}"/>
    <cellStyle name="Note 2 3 4 2" xfId="3656" xr:uid="{00000000-0005-0000-0000-00000A210000}"/>
    <cellStyle name="Note 2 3 4 2 2" xfId="7880" xr:uid="{00000000-0005-0000-0000-00000B210000}"/>
    <cellStyle name="Note 2 3 4 2 2 2" xfId="16309" xr:uid="{81A769A0-AC36-470A-A818-1D22ACC7F98E}"/>
    <cellStyle name="Note 2 3 4 2 3" xfId="12091" xr:uid="{0E091CDF-FD6C-460E-8C23-400F92EDB727}"/>
    <cellStyle name="Note 2 3 4 3" xfId="5735" xr:uid="{00000000-0005-0000-0000-00000C210000}"/>
    <cellStyle name="Note 2 3 4 3 2" xfId="14164" xr:uid="{E8E15DF8-A36C-406B-A2D2-CD39D2D29E6B}"/>
    <cellStyle name="Note 2 3 4 4" xfId="9946" xr:uid="{8EEA6544-D04E-4BA2-938F-F3A583D80C39}"/>
    <cellStyle name="Note 2 3 5" xfId="1840" xr:uid="{00000000-0005-0000-0000-00000D210000}"/>
    <cellStyle name="Note 2 3 5 2" xfId="4069" xr:uid="{00000000-0005-0000-0000-00000E210000}"/>
    <cellStyle name="Note 2 3 5 2 2" xfId="8293" xr:uid="{00000000-0005-0000-0000-00000F210000}"/>
    <cellStyle name="Note 2 3 5 2 2 2" xfId="16722" xr:uid="{1F941933-9C86-4727-93F6-8BFB22F71C97}"/>
    <cellStyle name="Note 2 3 5 2 3" xfId="12504" xr:uid="{95C7190E-11E0-4EC8-BC31-BD784030F6A4}"/>
    <cellStyle name="Note 2 3 5 3" xfId="6148" xr:uid="{00000000-0005-0000-0000-000010210000}"/>
    <cellStyle name="Note 2 3 5 3 2" xfId="14577" xr:uid="{ABD8143B-BD4F-4CB9-8C0B-2C93F69964AF}"/>
    <cellStyle name="Note 2 3 5 4" xfId="10359" xr:uid="{4DAED66C-36AF-4270-9C72-0150DF9BB6AC}"/>
    <cellStyle name="Note 2 3 6" xfId="2253" xr:uid="{00000000-0005-0000-0000-000011210000}"/>
    <cellStyle name="Note 2 3 6 2" xfId="4482" xr:uid="{00000000-0005-0000-0000-000012210000}"/>
    <cellStyle name="Note 2 3 6 2 2" xfId="8706" xr:uid="{00000000-0005-0000-0000-000013210000}"/>
    <cellStyle name="Note 2 3 6 2 2 2" xfId="17135" xr:uid="{AB31B76D-0807-4DE9-9B32-936F2338DD76}"/>
    <cellStyle name="Note 2 3 6 2 3" xfId="12917" xr:uid="{C113EC94-D5E6-42DB-A87B-4964B9A974C4}"/>
    <cellStyle name="Note 2 3 6 3" xfId="6561" xr:uid="{00000000-0005-0000-0000-000014210000}"/>
    <cellStyle name="Note 2 3 6 3 2" xfId="14990" xr:uid="{2646291C-54AE-4EEC-81CF-B7F28E7FD20E}"/>
    <cellStyle name="Note 2 3 6 4" xfId="10772" xr:uid="{DC0370FD-FAA2-4D54-B66B-C9CB952C2A1C}"/>
    <cellStyle name="Note 2 3 7" xfId="2689" xr:uid="{00000000-0005-0000-0000-000015210000}"/>
    <cellStyle name="Note 2 3 7 2" xfId="6974" xr:uid="{00000000-0005-0000-0000-000016210000}"/>
    <cellStyle name="Note 2 3 7 2 2" xfId="15403" xr:uid="{022A7942-86EC-4938-AE50-DDEFA7778B51}"/>
    <cellStyle name="Note 2 3 7 3" xfId="11185" xr:uid="{6B2D765A-D6AD-42E2-9213-5A0FCA13BFEB}"/>
    <cellStyle name="Note 2 3 8" xfId="2748" xr:uid="{00000000-0005-0000-0000-000017210000}"/>
    <cellStyle name="Note 2 3 9" xfId="2829" xr:uid="{00000000-0005-0000-0000-000018210000}"/>
    <cellStyle name="Note 2 3 9 2" xfId="7054" xr:uid="{00000000-0005-0000-0000-000019210000}"/>
    <cellStyle name="Note 2 3 9 2 2" xfId="15483" xr:uid="{F47F5603-C8B1-4B92-B820-E700F78B351A}"/>
    <cellStyle name="Note 2 3 9 3" xfId="11265" xr:uid="{B72DA2A0-98AB-4573-A9D8-3505B56A3B2A}"/>
    <cellStyle name="Note 2 4" xfId="552" xr:uid="{00000000-0005-0000-0000-00001A210000}"/>
    <cellStyle name="Note 2 4 10" xfId="9122" xr:uid="{B7B2CE00-6485-45E4-BF3A-58850E137F42}"/>
    <cellStyle name="Note 2 4 2" xfId="1013" xr:uid="{00000000-0005-0000-0000-00001B210000}"/>
    <cellStyle name="Note 2 4 2 2" xfId="3245" xr:uid="{00000000-0005-0000-0000-00001C210000}"/>
    <cellStyle name="Note 2 4 2 2 2" xfId="7469" xr:uid="{00000000-0005-0000-0000-00001D210000}"/>
    <cellStyle name="Note 2 4 2 2 2 2" xfId="15898" xr:uid="{1FB32E89-A52A-4A3B-A7B6-8D5A1404D004}"/>
    <cellStyle name="Note 2 4 2 2 3" xfId="11680" xr:uid="{543001F1-C902-40C3-B07F-A72E7E8710BA}"/>
    <cellStyle name="Note 2 4 2 3" xfId="5324" xr:uid="{00000000-0005-0000-0000-00001E210000}"/>
    <cellStyle name="Note 2 4 2 3 2" xfId="13753" xr:uid="{DF59E032-1806-467B-AD2F-66A1AF482E40}"/>
    <cellStyle name="Note 2 4 2 4" xfId="9535" xr:uid="{B452B482-3E2B-44A6-ADC7-73A240ED9138}"/>
    <cellStyle name="Note 2 4 3" xfId="1428" xr:uid="{00000000-0005-0000-0000-00001F210000}"/>
    <cellStyle name="Note 2 4 3 2" xfId="3658" xr:uid="{00000000-0005-0000-0000-000020210000}"/>
    <cellStyle name="Note 2 4 3 2 2" xfId="7882" xr:uid="{00000000-0005-0000-0000-000021210000}"/>
    <cellStyle name="Note 2 4 3 2 2 2" xfId="16311" xr:uid="{851E60DB-ACBE-4AB9-BC31-86595F4599C5}"/>
    <cellStyle name="Note 2 4 3 2 3" xfId="12093" xr:uid="{DF1FFE3A-8BD9-4000-AF93-5D136D11F359}"/>
    <cellStyle name="Note 2 4 3 3" xfId="5737" xr:uid="{00000000-0005-0000-0000-000022210000}"/>
    <cellStyle name="Note 2 4 3 3 2" xfId="14166" xr:uid="{F258D5DC-375D-4003-A053-DF916038A96D}"/>
    <cellStyle name="Note 2 4 3 4" xfId="9948" xr:uid="{8E3C13EA-DCB8-4C10-B38D-DCADFD21AB88}"/>
    <cellStyle name="Note 2 4 4" xfId="1842" xr:uid="{00000000-0005-0000-0000-000023210000}"/>
    <cellStyle name="Note 2 4 4 2" xfId="4071" xr:uid="{00000000-0005-0000-0000-000024210000}"/>
    <cellStyle name="Note 2 4 4 2 2" xfId="8295" xr:uid="{00000000-0005-0000-0000-000025210000}"/>
    <cellStyle name="Note 2 4 4 2 2 2" xfId="16724" xr:uid="{4971C67B-E786-4D31-917E-CB83A575CCDD}"/>
    <cellStyle name="Note 2 4 4 2 3" xfId="12506" xr:uid="{D34DFB4A-AD17-4822-A584-525BC1E9B8C5}"/>
    <cellStyle name="Note 2 4 4 3" xfId="6150" xr:uid="{00000000-0005-0000-0000-000026210000}"/>
    <cellStyle name="Note 2 4 4 3 2" xfId="14579" xr:uid="{9860C669-7590-4081-B1B4-4FB7BAA5EA85}"/>
    <cellStyle name="Note 2 4 4 4" xfId="10361" xr:uid="{C936F4FC-847A-43D2-88F6-76B9C934D38C}"/>
    <cellStyle name="Note 2 4 5" xfId="2255" xr:uid="{00000000-0005-0000-0000-000027210000}"/>
    <cellStyle name="Note 2 4 5 2" xfId="4484" xr:uid="{00000000-0005-0000-0000-000028210000}"/>
    <cellStyle name="Note 2 4 5 2 2" xfId="8708" xr:uid="{00000000-0005-0000-0000-000029210000}"/>
    <cellStyle name="Note 2 4 5 2 2 2" xfId="17137" xr:uid="{FBD86225-FD6A-4388-8B12-DD6A83129869}"/>
    <cellStyle name="Note 2 4 5 2 3" xfId="12919" xr:uid="{AAA2717E-AA9B-4A01-8450-7F06A35453C7}"/>
    <cellStyle name="Note 2 4 5 3" xfId="6563" xr:uid="{00000000-0005-0000-0000-00002A210000}"/>
    <cellStyle name="Note 2 4 5 3 2" xfId="14992" xr:uid="{76EF4131-35C9-407C-AA98-0098FB6BE376}"/>
    <cellStyle name="Note 2 4 5 4" xfId="10774" xr:uid="{A5F35EAF-C826-47C8-B709-D35050644C03}"/>
    <cellStyle name="Note 2 4 6" xfId="2691" xr:uid="{00000000-0005-0000-0000-00002B210000}"/>
    <cellStyle name="Note 2 4 6 2" xfId="6976" xr:uid="{00000000-0005-0000-0000-00002C210000}"/>
    <cellStyle name="Note 2 4 6 2 2" xfId="15405" xr:uid="{A8FE1EC8-DB0F-4447-8159-7C8FD0CB0E5D}"/>
    <cellStyle name="Note 2 4 6 3" xfId="11187" xr:uid="{E3ACB959-164F-4F59-AD09-9A3B4D28F646}"/>
    <cellStyle name="Note 2 4 7" xfId="2750" xr:uid="{00000000-0005-0000-0000-00002D210000}"/>
    <cellStyle name="Note 2 4 8" xfId="2831" xr:uid="{00000000-0005-0000-0000-00002E210000}"/>
    <cellStyle name="Note 2 4 8 2" xfId="7056" xr:uid="{00000000-0005-0000-0000-00002F210000}"/>
    <cellStyle name="Note 2 4 8 2 2" xfId="15485" xr:uid="{5B9D8EBC-998A-4914-93C9-CFCD1C85E01B}"/>
    <cellStyle name="Note 2 4 8 3" xfId="11267" xr:uid="{68238B68-1CD5-4A23-8ADB-EF5D13340920}"/>
    <cellStyle name="Note 2 4 9" xfId="4911" xr:uid="{00000000-0005-0000-0000-000030210000}"/>
    <cellStyle name="Note 2 4 9 2" xfId="13340" xr:uid="{34AC432C-6526-40D5-BF4F-A27F2B0F1055}"/>
    <cellStyle name="Note 2 5" xfId="553" xr:uid="{00000000-0005-0000-0000-000031210000}"/>
    <cellStyle name="Note 2 5 10" xfId="9123" xr:uid="{417C802E-7818-4E70-ACAA-BB18AECFC60B}"/>
    <cellStyle name="Note 2 5 2" xfId="1014" xr:uid="{00000000-0005-0000-0000-000032210000}"/>
    <cellStyle name="Note 2 5 2 2" xfId="3246" xr:uid="{00000000-0005-0000-0000-000033210000}"/>
    <cellStyle name="Note 2 5 2 2 2" xfId="7470" xr:uid="{00000000-0005-0000-0000-000034210000}"/>
    <cellStyle name="Note 2 5 2 2 2 2" xfId="15899" xr:uid="{E6C5B1C5-677A-4C56-9F75-7D479EA0052A}"/>
    <cellStyle name="Note 2 5 2 2 3" xfId="11681" xr:uid="{2C6FE12E-94CE-4B9D-9B9A-E02BF6476CE6}"/>
    <cellStyle name="Note 2 5 2 3" xfId="5325" xr:uid="{00000000-0005-0000-0000-000035210000}"/>
    <cellStyle name="Note 2 5 2 3 2" xfId="13754" xr:uid="{E2C63A57-E37C-4333-BC31-BD120DA899EF}"/>
    <cellStyle name="Note 2 5 2 4" xfId="9536" xr:uid="{A18A5A25-7AA2-486F-9E16-A68309ED43F1}"/>
    <cellStyle name="Note 2 5 3" xfId="1429" xr:uid="{00000000-0005-0000-0000-000036210000}"/>
    <cellStyle name="Note 2 5 3 2" xfId="3659" xr:uid="{00000000-0005-0000-0000-000037210000}"/>
    <cellStyle name="Note 2 5 3 2 2" xfId="7883" xr:uid="{00000000-0005-0000-0000-000038210000}"/>
    <cellStyle name="Note 2 5 3 2 2 2" xfId="16312" xr:uid="{580CBEFF-1E9D-4197-9ABB-087177E7BFB6}"/>
    <cellStyle name="Note 2 5 3 2 3" xfId="12094" xr:uid="{4C72B999-FF03-47E2-8A95-2E2730AED984}"/>
    <cellStyle name="Note 2 5 3 3" xfId="5738" xr:uid="{00000000-0005-0000-0000-000039210000}"/>
    <cellStyle name="Note 2 5 3 3 2" xfId="14167" xr:uid="{1DAB9F10-C1ED-4C4B-A756-E55A46488495}"/>
    <cellStyle name="Note 2 5 3 4" xfId="9949" xr:uid="{660FF3EC-FECD-4A07-9F41-6569A0EB8F0E}"/>
    <cellStyle name="Note 2 5 4" xfId="1843" xr:uid="{00000000-0005-0000-0000-00003A210000}"/>
    <cellStyle name="Note 2 5 4 2" xfId="4072" xr:uid="{00000000-0005-0000-0000-00003B210000}"/>
    <cellStyle name="Note 2 5 4 2 2" xfId="8296" xr:uid="{00000000-0005-0000-0000-00003C210000}"/>
    <cellStyle name="Note 2 5 4 2 2 2" xfId="16725" xr:uid="{98DD8CB8-246D-4E50-90FC-8B65DA2626A4}"/>
    <cellStyle name="Note 2 5 4 2 3" xfId="12507" xr:uid="{EA4BECB9-7D5A-48C4-B201-E5935E581B3C}"/>
    <cellStyle name="Note 2 5 4 3" xfId="6151" xr:uid="{00000000-0005-0000-0000-00003D210000}"/>
    <cellStyle name="Note 2 5 4 3 2" xfId="14580" xr:uid="{5B051D56-60EA-4E53-B5FD-86A0D4D22267}"/>
    <cellStyle name="Note 2 5 4 4" xfId="10362" xr:uid="{95FDD1BD-0187-4F1F-BA4D-51DABDF11EB9}"/>
    <cellStyle name="Note 2 5 5" xfId="2256" xr:uid="{00000000-0005-0000-0000-00003E210000}"/>
    <cellStyle name="Note 2 5 5 2" xfId="4485" xr:uid="{00000000-0005-0000-0000-00003F210000}"/>
    <cellStyle name="Note 2 5 5 2 2" xfId="8709" xr:uid="{00000000-0005-0000-0000-000040210000}"/>
    <cellStyle name="Note 2 5 5 2 2 2" xfId="17138" xr:uid="{BE9CC3CA-1AF2-4103-AE18-3B248F1672D0}"/>
    <cellStyle name="Note 2 5 5 2 3" xfId="12920" xr:uid="{BEBC6AE6-A789-46AA-A2E1-A8000655ED79}"/>
    <cellStyle name="Note 2 5 5 3" xfId="6564" xr:uid="{00000000-0005-0000-0000-000041210000}"/>
    <cellStyle name="Note 2 5 5 3 2" xfId="14993" xr:uid="{11264F6C-5F65-4F72-95F8-EFD8486F0C11}"/>
    <cellStyle name="Note 2 5 5 4" xfId="10775" xr:uid="{4583BD13-3682-4D0A-B9AE-7F4EB5DFCD8F}"/>
    <cellStyle name="Note 2 5 6" xfId="2692" xr:uid="{00000000-0005-0000-0000-000042210000}"/>
    <cellStyle name="Note 2 5 6 2" xfId="6977" xr:uid="{00000000-0005-0000-0000-000043210000}"/>
    <cellStyle name="Note 2 5 6 2 2" xfId="15406" xr:uid="{C5D020A7-AB7B-4B96-BC22-8A5D83B5E01B}"/>
    <cellStyle name="Note 2 5 6 3" xfId="11188" xr:uid="{68F0FD2F-3468-4A8F-A158-A47608735E12}"/>
    <cellStyle name="Note 2 5 7" xfId="2751" xr:uid="{00000000-0005-0000-0000-000044210000}"/>
    <cellStyle name="Note 2 5 8" xfId="2832" xr:uid="{00000000-0005-0000-0000-000045210000}"/>
    <cellStyle name="Note 2 5 8 2" xfId="7057" xr:uid="{00000000-0005-0000-0000-000046210000}"/>
    <cellStyle name="Note 2 5 8 2 2" xfId="15486" xr:uid="{ECD73208-25E7-45A8-8EE7-C84C806FC2E2}"/>
    <cellStyle name="Note 2 5 8 3" xfId="11268" xr:uid="{EA14BE2E-E7D8-4ABD-AED6-E7F128E2A804}"/>
    <cellStyle name="Note 2 5 9" xfId="4912" xr:uid="{00000000-0005-0000-0000-000047210000}"/>
    <cellStyle name="Note 2 5 9 2" xfId="13341" xr:uid="{7F9F9F28-B2FE-44CE-AC89-F8E3D3014D41}"/>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2 2" xfId="15487" xr:uid="{4CDA1E29-23E1-4BD0-AA3F-CB44E77A9C4F}"/>
    <cellStyle name="Note 3 2 10 3" xfId="11269" xr:uid="{63162B69-73BF-43A4-A522-88C87AF31076}"/>
    <cellStyle name="Note 3 2 11" xfId="4913" xr:uid="{00000000-0005-0000-0000-00004C210000}"/>
    <cellStyle name="Note 3 2 11 2" xfId="13342" xr:uid="{4555F128-2419-45C7-A376-34B3DC8CF770}"/>
    <cellStyle name="Note 3 2 12" xfId="9124" xr:uid="{BFE37C4F-9CF8-4C17-80D1-9E825002CCA8}"/>
    <cellStyle name="Note 3 2 2" xfId="556" xr:uid="{00000000-0005-0000-0000-00004D210000}"/>
    <cellStyle name="Note 3 2 2 10" xfId="4914" xr:uid="{00000000-0005-0000-0000-00004E210000}"/>
    <cellStyle name="Note 3 2 2 10 2" xfId="13343" xr:uid="{8CB666B9-807A-4B61-BACF-11AF34B0DC1F}"/>
    <cellStyle name="Note 3 2 2 11" xfId="9125" xr:uid="{005D82CC-C68B-4F15-9F37-5BD7398E4B6E}"/>
    <cellStyle name="Note 3 2 2 2" xfId="557" xr:uid="{00000000-0005-0000-0000-00004F210000}"/>
    <cellStyle name="Note 3 2 2 2 10" xfId="9126" xr:uid="{196107FF-6211-4250-A691-F12700B92221}"/>
    <cellStyle name="Note 3 2 2 2 2" xfId="1017" xr:uid="{00000000-0005-0000-0000-000050210000}"/>
    <cellStyle name="Note 3 2 2 2 2 2" xfId="3249" xr:uid="{00000000-0005-0000-0000-000051210000}"/>
    <cellStyle name="Note 3 2 2 2 2 2 2" xfId="7473" xr:uid="{00000000-0005-0000-0000-000052210000}"/>
    <cellStyle name="Note 3 2 2 2 2 2 2 2" xfId="15902" xr:uid="{01AACF52-712C-42EC-B65A-8313EF712309}"/>
    <cellStyle name="Note 3 2 2 2 2 2 3" xfId="11684" xr:uid="{1B5E1C96-E528-4442-A641-6E6972890F0E}"/>
    <cellStyle name="Note 3 2 2 2 2 3" xfId="5328" xr:uid="{00000000-0005-0000-0000-000053210000}"/>
    <cellStyle name="Note 3 2 2 2 2 3 2" xfId="13757" xr:uid="{01553FFD-A784-4745-929B-FC4509DBC280}"/>
    <cellStyle name="Note 3 2 2 2 2 4" xfId="9539" xr:uid="{5DF10217-7E1D-4643-A37F-D9721DCB30F2}"/>
    <cellStyle name="Note 3 2 2 2 3" xfId="1432" xr:uid="{00000000-0005-0000-0000-000054210000}"/>
    <cellStyle name="Note 3 2 2 2 3 2" xfId="3662" xr:uid="{00000000-0005-0000-0000-000055210000}"/>
    <cellStyle name="Note 3 2 2 2 3 2 2" xfId="7886" xr:uid="{00000000-0005-0000-0000-000056210000}"/>
    <cellStyle name="Note 3 2 2 2 3 2 2 2" xfId="16315" xr:uid="{09044360-37C7-4A87-BE9E-779872C31987}"/>
    <cellStyle name="Note 3 2 2 2 3 2 3" xfId="12097" xr:uid="{995E5A6D-20C4-4411-B9F3-B6D39CD68BF7}"/>
    <cellStyle name="Note 3 2 2 2 3 3" xfId="5741" xr:uid="{00000000-0005-0000-0000-000057210000}"/>
    <cellStyle name="Note 3 2 2 2 3 3 2" xfId="14170" xr:uid="{CB9F1205-B752-4267-87E5-6274A79366DB}"/>
    <cellStyle name="Note 3 2 2 2 3 4" xfId="9952" xr:uid="{6FAE3EB4-7BBD-4544-9E47-FCF689F6ED85}"/>
    <cellStyle name="Note 3 2 2 2 4" xfId="1846" xr:uid="{00000000-0005-0000-0000-000058210000}"/>
    <cellStyle name="Note 3 2 2 2 4 2" xfId="4075" xr:uid="{00000000-0005-0000-0000-000059210000}"/>
    <cellStyle name="Note 3 2 2 2 4 2 2" xfId="8299" xr:uid="{00000000-0005-0000-0000-00005A210000}"/>
    <cellStyle name="Note 3 2 2 2 4 2 2 2" xfId="16728" xr:uid="{4B2CBD31-0BE0-4A27-B542-621F01CC1508}"/>
    <cellStyle name="Note 3 2 2 2 4 2 3" xfId="12510" xr:uid="{B6DE9101-3423-4CDB-AAB3-F3AFF5009789}"/>
    <cellStyle name="Note 3 2 2 2 4 3" xfId="6154" xr:uid="{00000000-0005-0000-0000-00005B210000}"/>
    <cellStyle name="Note 3 2 2 2 4 3 2" xfId="14583" xr:uid="{E58380C3-6748-452F-8D7E-1313138366BF}"/>
    <cellStyle name="Note 3 2 2 2 4 4" xfId="10365" xr:uid="{A704766D-873D-4DB7-9EDD-930D761F2F1B}"/>
    <cellStyle name="Note 3 2 2 2 5" xfId="2259" xr:uid="{00000000-0005-0000-0000-00005C210000}"/>
    <cellStyle name="Note 3 2 2 2 5 2" xfId="4488" xr:uid="{00000000-0005-0000-0000-00005D210000}"/>
    <cellStyle name="Note 3 2 2 2 5 2 2" xfId="8712" xr:uid="{00000000-0005-0000-0000-00005E210000}"/>
    <cellStyle name="Note 3 2 2 2 5 2 2 2" xfId="17141" xr:uid="{AA2E361D-2915-4157-8825-33F513AAF020}"/>
    <cellStyle name="Note 3 2 2 2 5 2 3" xfId="12923" xr:uid="{B2A6B853-16E1-4817-AB1F-A89D590A180B}"/>
    <cellStyle name="Note 3 2 2 2 5 3" xfId="6567" xr:uid="{00000000-0005-0000-0000-00005F210000}"/>
    <cellStyle name="Note 3 2 2 2 5 3 2" xfId="14996" xr:uid="{864649A1-6AB6-4463-9C78-A22DDDD37812}"/>
    <cellStyle name="Note 3 2 2 2 5 4" xfId="10778" xr:uid="{017D7572-FE02-4DBC-926B-F97251251D3E}"/>
    <cellStyle name="Note 3 2 2 2 6" xfId="2695" xr:uid="{00000000-0005-0000-0000-000060210000}"/>
    <cellStyle name="Note 3 2 2 2 6 2" xfId="6980" xr:uid="{00000000-0005-0000-0000-000061210000}"/>
    <cellStyle name="Note 3 2 2 2 6 2 2" xfId="15409" xr:uid="{9860C20F-31A0-4DF6-BD4F-F4F22B3C9380}"/>
    <cellStyle name="Note 3 2 2 2 6 3" xfId="11191" xr:uid="{2EFFD3CB-D003-4921-A57C-9B0F4928E2EC}"/>
    <cellStyle name="Note 3 2 2 2 7" xfId="2754" xr:uid="{00000000-0005-0000-0000-000062210000}"/>
    <cellStyle name="Note 3 2 2 2 8" xfId="2835" xr:uid="{00000000-0005-0000-0000-000063210000}"/>
    <cellStyle name="Note 3 2 2 2 8 2" xfId="7060" xr:uid="{00000000-0005-0000-0000-000064210000}"/>
    <cellStyle name="Note 3 2 2 2 8 2 2" xfId="15489" xr:uid="{FDE7326F-A229-426E-A91A-0F0901376D70}"/>
    <cellStyle name="Note 3 2 2 2 8 3" xfId="11271" xr:uid="{3CE35B42-2EA5-4B79-B69E-4009AA4138C9}"/>
    <cellStyle name="Note 3 2 2 2 9" xfId="4915" xr:uid="{00000000-0005-0000-0000-000065210000}"/>
    <cellStyle name="Note 3 2 2 2 9 2" xfId="13344" xr:uid="{524B2050-1E76-48F3-A96D-ED872AA85ED0}"/>
    <cellStyle name="Note 3 2 2 3" xfId="1016" xr:uid="{00000000-0005-0000-0000-000066210000}"/>
    <cellStyle name="Note 3 2 2 3 2" xfId="3248" xr:uid="{00000000-0005-0000-0000-000067210000}"/>
    <cellStyle name="Note 3 2 2 3 2 2" xfId="7472" xr:uid="{00000000-0005-0000-0000-000068210000}"/>
    <cellStyle name="Note 3 2 2 3 2 2 2" xfId="15901" xr:uid="{751BA8F9-5A89-41AD-BA76-0CD9B62B8219}"/>
    <cellStyle name="Note 3 2 2 3 2 3" xfId="11683" xr:uid="{3E6BA590-03F1-4D2F-8032-D650F3B4069F}"/>
    <cellStyle name="Note 3 2 2 3 3" xfId="5327" xr:uid="{00000000-0005-0000-0000-000069210000}"/>
    <cellStyle name="Note 3 2 2 3 3 2" xfId="13756" xr:uid="{B5D92A19-FB1C-4555-A1C7-ED44A209A3B6}"/>
    <cellStyle name="Note 3 2 2 3 4" xfId="9538" xr:uid="{938F4B9A-D4D6-4359-B80E-EA4F724E91E3}"/>
    <cellStyle name="Note 3 2 2 4" xfId="1431" xr:uid="{00000000-0005-0000-0000-00006A210000}"/>
    <cellStyle name="Note 3 2 2 4 2" xfId="3661" xr:uid="{00000000-0005-0000-0000-00006B210000}"/>
    <cellStyle name="Note 3 2 2 4 2 2" xfId="7885" xr:uid="{00000000-0005-0000-0000-00006C210000}"/>
    <cellStyle name="Note 3 2 2 4 2 2 2" xfId="16314" xr:uid="{B20C20FB-171E-455F-9FD3-6DF5DA11BDFB}"/>
    <cellStyle name="Note 3 2 2 4 2 3" xfId="12096" xr:uid="{2E110E8E-C903-4538-AE5D-720B1C9324BE}"/>
    <cellStyle name="Note 3 2 2 4 3" xfId="5740" xr:uid="{00000000-0005-0000-0000-00006D210000}"/>
    <cellStyle name="Note 3 2 2 4 3 2" xfId="14169" xr:uid="{0884201E-C2F1-4497-BB7D-A19C97FF0146}"/>
    <cellStyle name="Note 3 2 2 4 4" xfId="9951" xr:uid="{346E4C42-E749-43AB-875D-8171BF72838D}"/>
    <cellStyle name="Note 3 2 2 5" xfId="1845" xr:uid="{00000000-0005-0000-0000-00006E210000}"/>
    <cellStyle name="Note 3 2 2 5 2" xfId="4074" xr:uid="{00000000-0005-0000-0000-00006F210000}"/>
    <cellStyle name="Note 3 2 2 5 2 2" xfId="8298" xr:uid="{00000000-0005-0000-0000-000070210000}"/>
    <cellStyle name="Note 3 2 2 5 2 2 2" xfId="16727" xr:uid="{6F17D8B6-7E78-4471-A0E4-F64ACD962B45}"/>
    <cellStyle name="Note 3 2 2 5 2 3" xfId="12509" xr:uid="{13376D0F-F8AA-4756-9CA5-5715DEDB42A0}"/>
    <cellStyle name="Note 3 2 2 5 3" xfId="6153" xr:uid="{00000000-0005-0000-0000-000071210000}"/>
    <cellStyle name="Note 3 2 2 5 3 2" xfId="14582" xr:uid="{8CBDF1CA-03DF-47B3-99D6-8E5439AE4007}"/>
    <cellStyle name="Note 3 2 2 5 4" xfId="10364" xr:uid="{16BE8CF5-3304-43D1-9A52-10072922FF08}"/>
    <cellStyle name="Note 3 2 2 6" xfId="2258" xr:uid="{00000000-0005-0000-0000-000072210000}"/>
    <cellStyle name="Note 3 2 2 6 2" xfId="4487" xr:uid="{00000000-0005-0000-0000-000073210000}"/>
    <cellStyle name="Note 3 2 2 6 2 2" xfId="8711" xr:uid="{00000000-0005-0000-0000-000074210000}"/>
    <cellStyle name="Note 3 2 2 6 2 2 2" xfId="17140" xr:uid="{C3346CEA-EFCE-4FB5-8ADF-CB393350F485}"/>
    <cellStyle name="Note 3 2 2 6 2 3" xfId="12922" xr:uid="{BD4ACD88-81F3-49D7-9FF4-EB7DC4300CA5}"/>
    <cellStyle name="Note 3 2 2 6 3" xfId="6566" xr:uid="{00000000-0005-0000-0000-000075210000}"/>
    <cellStyle name="Note 3 2 2 6 3 2" xfId="14995" xr:uid="{18B0EF29-D74F-4FEB-A3D0-261669D545F9}"/>
    <cellStyle name="Note 3 2 2 6 4" xfId="10777" xr:uid="{D9392D47-A726-4B95-BE9D-A13AC11784F2}"/>
    <cellStyle name="Note 3 2 2 7" xfId="2694" xr:uid="{00000000-0005-0000-0000-000076210000}"/>
    <cellStyle name="Note 3 2 2 7 2" xfId="6979" xr:uid="{00000000-0005-0000-0000-000077210000}"/>
    <cellStyle name="Note 3 2 2 7 2 2" xfId="15408" xr:uid="{11B33DFC-2BEB-42F7-9235-6E32218E1017}"/>
    <cellStyle name="Note 3 2 2 7 3" xfId="11190" xr:uid="{D352AA0A-018F-4D38-90A6-C269402048DE}"/>
    <cellStyle name="Note 3 2 2 8" xfId="2753" xr:uid="{00000000-0005-0000-0000-000078210000}"/>
    <cellStyle name="Note 3 2 2 9" xfId="2834" xr:uid="{00000000-0005-0000-0000-000079210000}"/>
    <cellStyle name="Note 3 2 2 9 2" xfId="7059" xr:uid="{00000000-0005-0000-0000-00007A210000}"/>
    <cellStyle name="Note 3 2 2 9 2 2" xfId="15488" xr:uid="{AC474CCC-6A4F-4409-A88B-1E17C64F53E7}"/>
    <cellStyle name="Note 3 2 2 9 3" xfId="11270" xr:uid="{F1C9DF65-4674-4418-9CAD-928D1B1BCA9D}"/>
    <cellStyle name="Note 3 2 3" xfId="558" xr:uid="{00000000-0005-0000-0000-00007B210000}"/>
    <cellStyle name="Note 3 2 3 10" xfId="9127" xr:uid="{77F57C96-F618-4B7C-9783-3326E6098FAC}"/>
    <cellStyle name="Note 3 2 3 2" xfId="1018" xr:uid="{00000000-0005-0000-0000-00007C210000}"/>
    <cellStyle name="Note 3 2 3 2 2" xfId="3250" xr:uid="{00000000-0005-0000-0000-00007D210000}"/>
    <cellStyle name="Note 3 2 3 2 2 2" xfId="7474" xr:uid="{00000000-0005-0000-0000-00007E210000}"/>
    <cellStyle name="Note 3 2 3 2 2 2 2" xfId="15903" xr:uid="{9D8C5FF6-49B6-492A-9364-8F78C098C5FC}"/>
    <cellStyle name="Note 3 2 3 2 2 3" xfId="11685" xr:uid="{475F62DD-F4B5-4E35-82A1-0292B7D5635E}"/>
    <cellStyle name="Note 3 2 3 2 3" xfId="5329" xr:uid="{00000000-0005-0000-0000-00007F210000}"/>
    <cellStyle name="Note 3 2 3 2 3 2" xfId="13758" xr:uid="{F23D5EEA-33AC-4B90-A2AC-9FBDDB0542FC}"/>
    <cellStyle name="Note 3 2 3 2 4" xfId="9540" xr:uid="{0810BF62-D24E-452B-8B39-2350E291C861}"/>
    <cellStyle name="Note 3 2 3 3" xfId="1433" xr:uid="{00000000-0005-0000-0000-000080210000}"/>
    <cellStyle name="Note 3 2 3 3 2" xfId="3663" xr:uid="{00000000-0005-0000-0000-000081210000}"/>
    <cellStyle name="Note 3 2 3 3 2 2" xfId="7887" xr:uid="{00000000-0005-0000-0000-000082210000}"/>
    <cellStyle name="Note 3 2 3 3 2 2 2" xfId="16316" xr:uid="{C81A0F9B-9718-45EA-920E-02044CE7F296}"/>
    <cellStyle name="Note 3 2 3 3 2 3" xfId="12098" xr:uid="{C7563A17-80AB-4BA2-862F-C55D2EFA1353}"/>
    <cellStyle name="Note 3 2 3 3 3" xfId="5742" xr:uid="{00000000-0005-0000-0000-000083210000}"/>
    <cellStyle name="Note 3 2 3 3 3 2" xfId="14171" xr:uid="{06838DE6-BF9B-46A7-9378-55516581D8FA}"/>
    <cellStyle name="Note 3 2 3 3 4" xfId="9953" xr:uid="{E02C3BE1-3CF2-47B3-98FD-D50D5ECA41C1}"/>
    <cellStyle name="Note 3 2 3 4" xfId="1847" xr:uid="{00000000-0005-0000-0000-000084210000}"/>
    <cellStyle name="Note 3 2 3 4 2" xfId="4076" xr:uid="{00000000-0005-0000-0000-000085210000}"/>
    <cellStyle name="Note 3 2 3 4 2 2" xfId="8300" xr:uid="{00000000-0005-0000-0000-000086210000}"/>
    <cellStyle name="Note 3 2 3 4 2 2 2" xfId="16729" xr:uid="{8FDE0BB5-0E78-4A34-9505-44BCE85AC1A4}"/>
    <cellStyle name="Note 3 2 3 4 2 3" xfId="12511" xr:uid="{D03F8F20-D493-4F73-BED7-57A5A46E29F9}"/>
    <cellStyle name="Note 3 2 3 4 3" xfId="6155" xr:uid="{00000000-0005-0000-0000-000087210000}"/>
    <cellStyle name="Note 3 2 3 4 3 2" xfId="14584" xr:uid="{31CB67A1-DAC5-46E8-854A-6DD9747FBA7A}"/>
    <cellStyle name="Note 3 2 3 4 4" xfId="10366" xr:uid="{6914A994-8ED6-4DE7-9F70-8086310525F1}"/>
    <cellStyle name="Note 3 2 3 5" xfId="2260" xr:uid="{00000000-0005-0000-0000-000088210000}"/>
    <cellStyle name="Note 3 2 3 5 2" xfId="4489" xr:uid="{00000000-0005-0000-0000-000089210000}"/>
    <cellStyle name="Note 3 2 3 5 2 2" xfId="8713" xr:uid="{00000000-0005-0000-0000-00008A210000}"/>
    <cellStyle name="Note 3 2 3 5 2 2 2" xfId="17142" xr:uid="{74725F78-3B4F-46BB-9800-8B253F19B913}"/>
    <cellStyle name="Note 3 2 3 5 2 3" xfId="12924" xr:uid="{02C2B464-F384-449F-8FC0-CBCA67B24016}"/>
    <cellStyle name="Note 3 2 3 5 3" xfId="6568" xr:uid="{00000000-0005-0000-0000-00008B210000}"/>
    <cellStyle name="Note 3 2 3 5 3 2" xfId="14997" xr:uid="{FF83434F-ECE1-4ABA-AF87-55266317872D}"/>
    <cellStyle name="Note 3 2 3 5 4" xfId="10779" xr:uid="{D9EDF9C7-0864-4139-94F7-E39947DF9C18}"/>
    <cellStyle name="Note 3 2 3 6" xfId="2696" xr:uid="{00000000-0005-0000-0000-00008C210000}"/>
    <cellStyle name="Note 3 2 3 6 2" xfId="6981" xr:uid="{00000000-0005-0000-0000-00008D210000}"/>
    <cellStyle name="Note 3 2 3 6 2 2" xfId="15410" xr:uid="{031DEFE8-AFDF-477B-8754-01D1BAA68D21}"/>
    <cellStyle name="Note 3 2 3 6 3" xfId="11192" xr:uid="{E51815FD-4540-40C0-8863-DDABF6782D7D}"/>
    <cellStyle name="Note 3 2 3 7" xfId="2755" xr:uid="{00000000-0005-0000-0000-00008E210000}"/>
    <cellStyle name="Note 3 2 3 8" xfId="2836" xr:uid="{00000000-0005-0000-0000-00008F210000}"/>
    <cellStyle name="Note 3 2 3 8 2" xfId="7061" xr:uid="{00000000-0005-0000-0000-000090210000}"/>
    <cellStyle name="Note 3 2 3 8 2 2" xfId="15490" xr:uid="{EC99471B-EE44-4E7D-991F-B108BA74E19F}"/>
    <cellStyle name="Note 3 2 3 8 3" xfId="11272" xr:uid="{BBFA1ECB-EA95-4D88-8547-D5699C9108B4}"/>
    <cellStyle name="Note 3 2 3 9" xfId="4916" xr:uid="{00000000-0005-0000-0000-000091210000}"/>
    <cellStyle name="Note 3 2 3 9 2" xfId="13345" xr:uid="{164CB2BB-369D-4EAC-9614-41DA92E7FD87}"/>
    <cellStyle name="Note 3 2 4" xfId="1015" xr:uid="{00000000-0005-0000-0000-000092210000}"/>
    <cellStyle name="Note 3 2 4 2" xfId="3247" xr:uid="{00000000-0005-0000-0000-000093210000}"/>
    <cellStyle name="Note 3 2 4 2 2" xfId="7471" xr:uid="{00000000-0005-0000-0000-000094210000}"/>
    <cellStyle name="Note 3 2 4 2 2 2" xfId="15900" xr:uid="{E7296E0C-D905-418E-997B-46598CC16EB2}"/>
    <cellStyle name="Note 3 2 4 2 3" xfId="11682" xr:uid="{DB3F422A-67DC-42E8-886F-8562AB464C03}"/>
    <cellStyle name="Note 3 2 4 3" xfId="5326" xr:uid="{00000000-0005-0000-0000-000095210000}"/>
    <cellStyle name="Note 3 2 4 3 2" xfId="13755" xr:uid="{6CBBC90F-20B8-4A0A-AB1C-65D67D3D2D68}"/>
    <cellStyle name="Note 3 2 4 4" xfId="9537" xr:uid="{2E057DE9-42B8-4B9C-B3C1-F268A5A8F493}"/>
    <cellStyle name="Note 3 2 5" xfId="1430" xr:uid="{00000000-0005-0000-0000-000096210000}"/>
    <cellStyle name="Note 3 2 5 2" xfId="3660" xr:uid="{00000000-0005-0000-0000-000097210000}"/>
    <cellStyle name="Note 3 2 5 2 2" xfId="7884" xr:uid="{00000000-0005-0000-0000-000098210000}"/>
    <cellStyle name="Note 3 2 5 2 2 2" xfId="16313" xr:uid="{BAE8268C-C0AC-4A2C-82CF-C83E25B8613A}"/>
    <cellStyle name="Note 3 2 5 2 3" xfId="12095" xr:uid="{5518BC1A-123E-4218-A366-5CAE9D46CCD0}"/>
    <cellStyle name="Note 3 2 5 3" xfId="5739" xr:uid="{00000000-0005-0000-0000-000099210000}"/>
    <cellStyle name="Note 3 2 5 3 2" xfId="14168" xr:uid="{59A6139E-4BC7-4030-9DD8-4B4CFC07ED91}"/>
    <cellStyle name="Note 3 2 5 4" xfId="9950" xr:uid="{99A44076-1B96-4ED1-8230-16B109E99BFA}"/>
    <cellStyle name="Note 3 2 6" xfId="1844" xr:uid="{00000000-0005-0000-0000-00009A210000}"/>
    <cellStyle name="Note 3 2 6 2" xfId="4073" xr:uid="{00000000-0005-0000-0000-00009B210000}"/>
    <cellStyle name="Note 3 2 6 2 2" xfId="8297" xr:uid="{00000000-0005-0000-0000-00009C210000}"/>
    <cellStyle name="Note 3 2 6 2 2 2" xfId="16726" xr:uid="{3563BFA3-5FAE-4C81-A358-0DF1DAF9D48E}"/>
    <cellStyle name="Note 3 2 6 2 3" xfId="12508" xr:uid="{79BF4489-272A-4A9E-8E82-387B78756921}"/>
    <cellStyle name="Note 3 2 6 3" xfId="6152" xr:uid="{00000000-0005-0000-0000-00009D210000}"/>
    <cellStyle name="Note 3 2 6 3 2" xfId="14581" xr:uid="{AD588A28-AB92-4206-B958-95CA130DC9D7}"/>
    <cellStyle name="Note 3 2 6 4" xfId="10363" xr:uid="{3552AE0E-8B65-4D23-AE22-7D4DD19218E4}"/>
    <cellStyle name="Note 3 2 7" xfId="2257" xr:uid="{00000000-0005-0000-0000-00009E210000}"/>
    <cellStyle name="Note 3 2 7 2" xfId="4486" xr:uid="{00000000-0005-0000-0000-00009F210000}"/>
    <cellStyle name="Note 3 2 7 2 2" xfId="8710" xr:uid="{00000000-0005-0000-0000-0000A0210000}"/>
    <cellStyle name="Note 3 2 7 2 2 2" xfId="17139" xr:uid="{562E6491-EF13-4FAA-AD11-063BF60F3131}"/>
    <cellStyle name="Note 3 2 7 2 3" xfId="12921" xr:uid="{CDDB2008-52E8-4497-99E1-DD993D00CCBC}"/>
    <cellStyle name="Note 3 2 7 3" xfId="6565" xr:uid="{00000000-0005-0000-0000-0000A1210000}"/>
    <cellStyle name="Note 3 2 7 3 2" xfId="14994" xr:uid="{E331E17B-033D-4D08-9DA9-7C937282AFB0}"/>
    <cellStyle name="Note 3 2 7 4" xfId="10776" xr:uid="{BE46A8A6-01A2-4560-9BE5-AD0FBD7563F9}"/>
    <cellStyle name="Note 3 2 8" xfId="2693" xr:uid="{00000000-0005-0000-0000-0000A2210000}"/>
    <cellStyle name="Note 3 2 8 2" xfId="6978" xr:uid="{00000000-0005-0000-0000-0000A3210000}"/>
    <cellStyle name="Note 3 2 8 2 2" xfId="15407" xr:uid="{FBA719A0-291E-473D-9A0E-0D4DB7409C45}"/>
    <cellStyle name="Note 3 2 8 3" xfId="11189" xr:uid="{1AFE5C0C-AE2B-425E-8190-9DA6A8F286F0}"/>
    <cellStyle name="Note 3 2 9" xfId="2752" xr:uid="{00000000-0005-0000-0000-0000A4210000}"/>
    <cellStyle name="Note 3 3" xfId="559" xr:uid="{00000000-0005-0000-0000-0000A5210000}"/>
    <cellStyle name="Note 3 3 10" xfId="4917" xr:uid="{00000000-0005-0000-0000-0000A6210000}"/>
    <cellStyle name="Note 3 3 10 2" xfId="13346" xr:uid="{62D4CE8A-0D56-4B48-A4FC-98CC2B0F8A4D}"/>
    <cellStyle name="Note 3 3 11" xfId="9128" xr:uid="{3592B1E3-4940-48F9-96FF-D132C8C0E952}"/>
    <cellStyle name="Note 3 3 2" xfId="560" xr:uid="{00000000-0005-0000-0000-0000A7210000}"/>
    <cellStyle name="Note 3 3 2 10" xfId="9129" xr:uid="{245ED1D6-E62F-4764-BAF2-A693D2E5AAFD}"/>
    <cellStyle name="Note 3 3 2 2" xfId="1020" xr:uid="{00000000-0005-0000-0000-0000A8210000}"/>
    <cellStyle name="Note 3 3 2 2 2" xfId="3252" xr:uid="{00000000-0005-0000-0000-0000A9210000}"/>
    <cellStyle name="Note 3 3 2 2 2 2" xfId="7476" xr:uid="{00000000-0005-0000-0000-0000AA210000}"/>
    <cellStyle name="Note 3 3 2 2 2 2 2" xfId="15905" xr:uid="{36D277B3-5A4D-444D-9AD4-5B0EB0E45F2B}"/>
    <cellStyle name="Note 3 3 2 2 2 3" xfId="11687" xr:uid="{FE6AE53B-9DE5-446E-A535-A60F4E396B43}"/>
    <cellStyle name="Note 3 3 2 2 3" xfId="5331" xr:uid="{00000000-0005-0000-0000-0000AB210000}"/>
    <cellStyle name="Note 3 3 2 2 3 2" xfId="13760" xr:uid="{B7ACBE60-6350-4BEC-A068-F3F8421727DC}"/>
    <cellStyle name="Note 3 3 2 2 4" xfId="9542" xr:uid="{028D4148-C56B-4D4F-9A71-585D9CEDEF01}"/>
    <cellStyle name="Note 3 3 2 3" xfId="1435" xr:uid="{00000000-0005-0000-0000-0000AC210000}"/>
    <cellStyle name="Note 3 3 2 3 2" xfId="3665" xr:uid="{00000000-0005-0000-0000-0000AD210000}"/>
    <cellStyle name="Note 3 3 2 3 2 2" xfId="7889" xr:uid="{00000000-0005-0000-0000-0000AE210000}"/>
    <cellStyle name="Note 3 3 2 3 2 2 2" xfId="16318" xr:uid="{ECB928D8-CA7C-487A-A966-10D3DA6A835A}"/>
    <cellStyle name="Note 3 3 2 3 2 3" xfId="12100" xr:uid="{BFC721ED-04D4-4CFC-954D-CF3CF21E8403}"/>
    <cellStyle name="Note 3 3 2 3 3" xfId="5744" xr:uid="{00000000-0005-0000-0000-0000AF210000}"/>
    <cellStyle name="Note 3 3 2 3 3 2" xfId="14173" xr:uid="{5EDBC9DD-2B20-476F-9986-ADEC5AAC67F2}"/>
    <cellStyle name="Note 3 3 2 3 4" xfId="9955" xr:uid="{D07EC225-E401-416F-80BE-D9EA86D0FC28}"/>
    <cellStyle name="Note 3 3 2 4" xfId="1849" xr:uid="{00000000-0005-0000-0000-0000B0210000}"/>
    <cellStyle name="Note 3 3 2 4 2" xfId="4078" xr:uid="{00000000-0005-0000-0000-0000B1210000}"/>
    <cellStyle name="Note 3 3 2 4 2 2" xfId="8302" xr:uid="{00000000-0005-0000-0000-0000B2210000}"/>
    <cellStyle name="Note 3 3 2 4 2 2 2" xfId="16731" xr:uid="{54104BAE-B604-4BC7-9619-4875B7DD389A}"/>
    <cellStyle name="Note 3 3 2 4 2 3" xfId="12513" xr:uid="{9C60DF2B-F114-4330-8D7C-0DDCED0E1D2D}"/>
    <cellStyle name="Note 3 3 2 4 3" xfId="6157" xr:uid="{00000000-0005-0000-0000-0000B3210000}"/>
    <cellStyle name="Note 3 3 2 4 3 2" xfId="14586" xr:uid="{5E0B3882-D244-46FC-8491-A9FB8280267C}"/>
    <cellStyle name="Note 3 3 2 4 4" xfId="10368" xr:uid="{2FE03628-0C57-4E5B-8648-E60E974F7C23}"/>
    <cellStyle name="Note 3 3 2 5" xfId="2262" xr:uid="{00000000-0005-0000-0000-0000B4210000}"/>
    <cellStyle name="Note 3 3 2 5 2" xfId="4491" xr:uid="{00000000-0005-0000-0000-0000B5210000}"/>
    <cellStyle name="Note 3 3 2 5 2 2" xfId="8715" xr:uid="{00000000-0005-0000-0000-0000B6210000}"/>
    <cellStyle name="Note 3 3 2 5 2 2 2" xfId="17144" xr:uid="{CF19299D-C763-4E00-AAA5-DCB3403D9DA4}"/>
    <cellStyle name="Note 3 3 2 5 2 3" xfId="12926" xr:uid="{DCDE6CC4-1CEC-4A31-81C3-893CEBEF9E28}"/>
    <cellStyle name="Note 3 3 2 5 3" xfId="6570" xr:uid="{00000000-0005-0000-0000-0000B7210000}"/>
    <cellStyle name="Note 3 3 2 5 3 2" xfId="14999" xr:uid="{06FF1A55-C0C4-4C13-9E3A-EDC08257692B}"/>
    <cellStyle name="Note 3 3 2 5 4" xfId="10781" xr:uid="{C64D8E4B-AF94-4E7A-A248-2A9649ED25BF}"/>
    <cellStyle name="Note 3 3 2 6" xfId="2698" xr:uid="{00000000-0005-0000-0000-0000B8210000}"/>
    <cellStyle name="Note 3 3 2 6 2" xfId="6983" xr:uid="{00000000-0005-0000-0000-0000B9210000}"/>
    <cellStyle name="Note 3 3 2 6 2 2" xfId="15412" xr:uid="{2B8E3141-1052-4FDA-970C-F76D28C73A13}"/>
    <cellStyle name="Note 3 3 2 6 3" xfId="11194" xr:uid="{05B64F78-9211-490C-961B-F78F4073B2B8}"/>
    <cellStyle name="Note 3 3 2 7" xfId="2757" xr:uid="{00000000-0005-0000-0000-0000BA210000}"/>
    <cellStyle name="Note 3 3 2 8" xfId="2838" xr:uid="{00000000-0005-0000-0000-0000BB210000}"/>
    <cellStyle name="Note 3 3 2 8 2" xfId="7063" xr:uid="{00000000-0005-0000-0000-0000BC210000}"/>
    <cellStyle name="Note 3 3 2 8 2 2" xfId="15492" xr:uid="{B21AA757-152C-4C99-81F3-2AB86FC4A179}"/>
    <cellStyle name="Note 3 3 2 8 3" xfId="11274" xr:uid="{E43F4B20-6AFE-431D-99E6-B91CEFC0DFB0}"/>
    <cellStyle name="Note 3 3 2 9" xfId="4918" xr:uid="{00000000-0005-0000-0000-0000BD210000}"/>
    <cellStyle name="Note 3 3 2 9 2" xfId="13347" xr:uid="{A50DEBFE-6639-4DF5-A0FF-2EFB72AD1BD6}"/>
    <cellStyle name="Note 3 3 3" xfId="1019" xr:uid="{00000000-0005-0000-0000-0000BE210000}"/>
    <cellStyle name="Note 3 3 3 2" xfId="3251" xr:uid="{00000000-0005-0000-0000-0000BF210000}"/>
    <cellStyle name="Note 3 3 3 2 2" xfId="7475" xr:uid="{00000000-0005-0000-0000-0000C0210000}"/>
    <cellStyle name="Note 3 3 3 2 2 2" xfId="15904" xr:uid="{9B41B960-DC15-4708-B666-1A5A71CEF9E0}"/>
    <cellStyle name="Note 3 3 3 2 3" xfId="11686" xr:uid="{B4EC4C61-8956-4C1F-A991-DBFCED951986}"/>
    <cellStyle name="Note 3 3 3 3" xfId="5330" xr:uid="{00000000-0005-0000-0000-0000C1210000}"/>
    <cellStyle name="Note 3 3 3 3 2" xfId="13759" xr:uid="{03E61790-A794-4BA8-968F-353D06285F01}"/>
    <cellStyle name="Note 3 3 3 4" xfId="9541" xr:uid="{31654248-2F7B-43F8-B3A9-7F64D3BE37C3}"/>
    <cellStyle name="Note 3 3 4" xfId="1434" xr:uid="{00000000-0005-0000-0000-0000C2210000}"/>
    <cellStyle name="Note 3 3 4 2" xfId="3664" xr:uid="{00000000-0005-0000-0000-0000C3210000}"/>
    <cellStyle name="Note 3 3 4 2 2" xfId="7888" xr:uid="{00000000-0005-0000-0000-0000C4210000}"/>
    <cellStyle name="Note 3 3 4 2 2 2" xfId="16317" xr:uid="{14125B7B-B4EE-4551-828D-CAD19C19F84F}"/>
    <cellStyle name="Note 3 3 4 2 3" xfId="12099" xr:uid="{701B48C5-DE69-44B0-A93B-2EB275273849}"/>
    <cellStyle name="Note 3 3 4 3" xfId="5743" xr:uid="{00000000-0005-0000-0000-0000C5210000}"/>
    <cellStyle name="Note 3 3 4 3 2" xfId="14172" xr:uid="{AADC77D1-0824-4569-9069-E19F79A1FE2E}"/>
    <cellStyle name="Note 3 3 4 4" xfId="9954" xr:uid="{6FFA0960-1812-4509-AD55-29D2DDCBA2CE}"/>
    <cellStyle name="Note 3 3 5" xfId="1848" xr:uid="{00000000-0005-0000-0000-0000C6210000}"/>
    <cellStyle name="Note 3 3 5 2" xfId="4077" xr:uid="{00000000-0005-0000-0000-0000C7210000}"/>
    <cellStyle name="Note 3 3 5 2 2" xfId="8301" xr:uid="{00000000-0005-0000-0000-0000C8210000}"/>
    <cellStyle name="Note 3 3 5 2 2 2" xfId="16730" xr:uid="{957EEE30-D8C8-43E1-9B9B-1D06BB4F5597}"/>
    <cellStyle name="Note 3 3 5 2 3" xfId="12512" xr:uid="{9CEACA87-994F-45D5-91CD-DDB32747A710}"/>
    <cellStyle name="Note 3 3 5 3" xfId="6156" xr:uid="{00000000-0005-0000-0000-0000C9210000}"/>
    <cellStyle name="Note 3 3 5 3 2" xfId="14585" xr:uid="{51132D1D-CD33-4B1D-8508-A8F08BCE3635}"/>
    <cellStyle name="Note 3 3 5 4" xfId="10367" xr:uid="{9F4D6DB4-160A-41EB-B47E-A96663074E89}"/>
    <cellStyle name="Note 3 3 6" xfId="2261" xr:uid="{00000000-0005-0000-0000-0000CA210000}"/>
    <cellStyle name="Note 3 3 6 2" xfId="4490" xr:uid="{00000000-0005-0000-0000-0000CB210000}"/>
    <cellStyle name="Note 3 3 6 2 2" xfId="8714" xr:uid="{00000000-0005-0000-0000-0000CC210000}"/>
    <cellStyle name="Note 3 3 6 2 2 2" xfId="17143" xr:uid="{6B0D5EA6-3459-4D77-B94A-CB9FE8DEBEAB}"/>
    <cellStyle name="Note 3 3 6 2 3" xfId="12925" xr:uid="{32350910-818A-4D54-AC86-85470C9C4A02}"/>
    <cellStyle name="Note 3 3 6 3" xfId="6569" xr:uid="{00000000-0005-0000-0000-0000CD210000}"/>
    <cellStyle name="Note 3 3 6 3 2" xfId="14998" xr:uid="{F3993310-C96B-43DB-B4F1-909F41E37779}"/>
    <cellStyle name="Note 3 3 6 4" xfId="10780" xr:uid="{43B6E761-36E0-4F3E-BA50-14512989F2E7}"/>
    <cellStyle name="Note 3 3 7" xfId="2697" xr:uid="{00000000-0005-0000-0000-0000CE210000}"/>
    <cellStyle name="Note 3 3 7 2" xfId="6982" xr:uid="{00000000-0005-0000-0000-0000CF210000}"/>
    <cellStyle name="Note 3 3 7 2 2" xfId="15411" xr:uid="{5F36BF42-1DEC-4A28-BE8A-DECD38CC53CA}"/>
    <cellStyle name="Note 3 3 7 3" xfId="11193" xr:uid="{880F08BC-B127-40B2-BAF6-CADE27C13AFD}"/>
    <cellStyle name="Note 3 3 8" xfId="2756" xr:uid="{00000000-0005-0000-0000-0000D0210000}"/>
    <cellStyle name="Note 3 3 9" xfId="2837" xr:uid="{00000000-0005-0000-0000-0000D1210000}"/>
    <cellStyle name="Note 3 3 9 2" xfId="7062" xr:uid="{00000000-0005-0000-0000-0000D2210000}"/>
    <cellStyle name="Note 3 3 9 2 2" xfId="15491" xr:uid="{C3B9C74F-A8C6-48C1-ADB1-FE0A37392AA0}"/>
    <cellStyle name="Note 3 3 9 3" xfId="11273" xr:uid="{4E31AF30-3DA2-45E8-8A66-2942CD552A46}"/>
    <cellStyle name="Note 3 4" xfId="561" xr:uid="{00000000-0005-0000-0000-0000D3210000}"/>
    <cellStyle name="Note 3 4 10" xfId="9130" xr:uid="{5BED2D6F-24BB-408C-A988-F86A1F5980C4}"/>
    <cellStyle name="Note 3 4 2" xfId="1021" xr:uid="{00000000-0005-0000-0000-0000D4210000}"/>
    <cellStyle name="Note 3 4 2 2" xfId="3253" xr:uid="{00000000-0005-0000-0000-0000D5210000}"/>
    <cellStyle name="Note 3 4 2 2 2" xfId="7477" xr:uid="{00000000-0005-0000-0000-0000D6210000}"/>
    <cellStyle name="Note 3 4 2 2 2 2" xfId="15906" xr:uid="{84E32E15-64D4-4A12-B316-B7D83AF06533}"/>
    <cellStyle name="Note 3 4 2 2 3" xfId="11688" xr:uid="{9FC93D25-DCF3-4192-8A99-A1737939E506}"/>
    <cellStyle name="Note 3 4 2 3" xfId="5332" xr:uid="{00000000-0005-0000-0000-0000D7210000}"/>
    <cellStyle name="Note 3 4 2 3 2" xfId="13761" xr:uid="{7EEFC553-EB99-4AB7-895E-18740437BD24}"/>
    <cellStyle name="Note 3 4 2 4" xfId="9543" xr:uid="{75326533-CC85-4A6A-B6AE-744E73127952}"/>
    <cellStyle name="Note 3 4 3" xfId="1436" xr:uid="{00000000-0005-0000-0000-0000D8210000}"/>
    <cellStyle name="Note 3 4 3 2" xfId="3666" xr:uid="{00000000-0005-0000-0000-0000D9210000}"/>
    <cellStyle name="Note 3 4 3 2 2" xfId="7890" xr:uid="{00000000-0005-0000-0000-0000DA210000}"/>
    <cellStyle name="Note 3 4 3 2 2 2" xfId="16319" xr:uid="{F30E1894-8FE3-47F3-BDFA-F482B9F281FC}"/>
    <cellStyle name="Note 3 4 3 2 3" xfId="12101" xr:uid="{F985E8EF-5A98-4203-8582-1B015B7E23E7}"/>
    <cellStyle name="Note 3 4 3 3" xfId="5745" xr:uid="{00000000-0005-0000-0000-0000DB210000}"/>
    <cellStyle name="Note 3 4 3 3 2" xfId="14174" xr:uid="{D4D48E95-8C2A-4749-9283-C1E368315B78}"/>
    <cellStyle name="Note 3 4 3 4" xfId="9956" xr:uid="{743EF5D4-F1BC-41F2-9823-A9C57CB6170E}"/>
    <cellStyle name="Note 3 4 4" xfId="1850" xr:uid="{00000000-0005-0000-0000-0000DC210000}"/>
    <cellStyle name="Note 3 4 4 2" xfId="4079" xr:uid="{00000000-0005-0000-0000-0000DD210000}"/>
    <cellStyle name="Note 3 4 4 2 2" xfId="8303" xr:uid="{00000000-0005-0000-0000-0000DE210000}"/>
    <cellStyle name="Note 3 4 4 2 2 2" xfId="16732" xr:uid="{5A60A205-AFDD-4381-B1FC-C0BB3F23C001}"/>
    <cellStyle name="Note 3 4 4 2 3" xfId="12514" xr:uid="{5FF5EB9B-6B66-4AC5-BBC3-2B209130CA83}"/>
    <cellStyle name="Note 3 4 4 3" xfId="6158" xr:uid="{00000000-0005-0000-0000-0000DF210000}"/>
    <cellStyle name="Note 3 4 4 3 2" xfId="14587" xr:uid="{EB39EECF-2835-4B1E-A65F-35988EE3781A}"/>
    <cellStyle name="Note 3 4 4 4" xfId="10369" xr:uid="{5F079DD8-3979-4654-A3F5-BF7DF01B4C54}"/>
    <cellStyle name="Note 3 4 5" xfId="2263" xr:uid="{00000000-0005-0000-0000-0000E0210000}"/>
    <cellStyle name="Note 3 4 5 2" xfId="4492" xr:uid="{00000000-0005-0000-0000-0000E1210000}"/>
    <cellStyle name="Note 3 4 5 2 2" xfId="8716" xr:uid="{00000000-0005-0000-0000-0000E2210000}"/>
    <cellStyle name="Note 3 4 5 2 2 2" xfId="17145" xr:uid="{EE24FD84-1C6C-4E97-89CE-EB3042091254}"/>
    <cellStyle name="Note 3 4 5 2 3" xfId="12927" xr:uid="{81EF36A6-7842-4DF0-A7E7-3E24CDEC2813}"/>
    <cellStyle name="Note 3 4 5 3" xfId="6571" xr:uid="{00000000-0005-0000-0000-0000E3210000}"/>
    <cellStyle name="Note 3 4 5 3 2" xfId="15000" xr:uid="{FBED9A2D-ECCA-49CA-9A08-90268B6D9956}"/>
    <cellStyle name="Note 3 4 5 4" xfId="10782" xr:uid="{D7649368-50EB-4DDE-8CEB-6ABB4E0DB6BF}"/>
    <cellStyle name="Note 3 4 6" xfId="2699" xr:uid="{00000000-0005-0000-0000-0000E4210000}"/>
    <cellStyle name="Note 3 4 6 2" xfId="6984" xr:uid="{00000000-0005-0000-0000-0000E5210000}"/>
    <cellStyle name="Note 3 4 6 2 2" xfId="15413" xr:uid="{8D4DF6CF-DBC3-4F0B-996C-DB68619DBB2A}"/>
    <cellStyle name="Note 3 4 6 3" xfId="11195" xr:uid="{E21535CD-6D2D-46CD-B433-70405839FC8E}"/>
    <cellStyle name="Note 3 4 7" xfId="2758" xr:uid="{00000000-0005-0000-0000-0000E6210000}"/>
    <cellStyle name="Note 3 4 8" xfId="2839" xr:uid="{00000000-0005-0000-0000-0000E7210000}"/>
    <cellStyle name="Note 3 4 8 2" xfId="7064" xr:uid="{00000000-0005-0000-0000-0000E8210000}"/>
    <cellStyle name="Note 3 4 8 2 2" xfId="15493" xr:uid="{CEE2AB04-3529-491E-960C-8F14334A9A76}"/>
    <cellStyle name="Note 3 4 8 3" xfId="11275" xr:uid="{F1720EF6-0CF8-4D23-80D3-5062026167D2}"/>
    <cellStyle name="Note 3 4 9" xfId="4919" xr:uid="{00000000-0005-0000-0000-0000E9210000}"/>
    <cellStyle name="Note 3 4 9 2" xfId="13348" xr:uid="{29440EA3-2195-442E-A94A-8C28DD1740D6}"/>
    <cellStyle name="Note 3 5" xfId="562" xr:uid="{00000000-0005-0000-0000-0000EA210000}"/>
    <cellStyle name="Note 3 5 10" xfId="9131" xr:uid="{68F5144E-989B-4FB1-8508-7746AF03CF73}"/>
    <cellStyle name="Note 3 5 2" xfId="1022" xr:uid="{00000000-0005-0000-0000-0000EB210000}"/>
    <cellStyle name="Note 3 5 2 2" xfId="3254" xr:uid="{00000000-0005-0000-0000-0000EC210000}"/>
    <cellStyle name="Note 3 5 2 2 2" xfId="7478" xr:uid="{00000000-0005-0000-0000-0000ED210000}"/>
    <cellStyle name="Note 3 5 2 2 2 2" xfId="15907" xr:uid="{1AEC9F28-841C-4741-B10A-6D0880336104}"/>
    <cellStyle name="Note 3 5 2 2 3" xfId="11689" xr:uid="{B0277BC6-4066-420E-B8A1-5A50B4B3C752}"/>
    <cellStyle name="Note 3 5 2 3" xfId="5333" xr:uid="{00000000-0005-0000-0000-0000EE210000}"/>
    <cellStyle name="Note 3 5 2 3 2" xfId="13762" xr:uid="{6183E454-023D-4BE3-A9C2-A49E9E12E638}"/>
    <cellStyle name="Note 3 5 2 4" xfId="9544" xr:uid="{F757C869-F6B2-4E94-B8E6-57A26C787AA0}"/>
    <cellStyle name="Note 3 5 3" xfId="1437" xr:uid="{00000000-0005-0000-0000-0000EF210000}"/>
    <cellStyle name="Note 3 5 3 2" xfId="3667" xr:uid="{00000000-0005-0000-0000-0000F0210000}"/>
    <cellStyle name="Note 3 5 3 2 2" xfId="7891" xr:uid="{00000000-0005-0000-0000-0000F1210000}"/>
    <cellStyle name="Note 3 5 3 2 2 2" xfId="16320" xr:uid="{33A5BF12-8BD3-4358-9D99-8DCF2662ACEC}"/>
    <cellStyle name="Note 3 5 3 2 3" xfId="12102" xr:uid="{6C5FF783-9268-447E-841F-8997ADC34FDE}"/>
    <cellStyle name="Note 3 5 3 3" xfId="5746" xr:uid="{00000000-0005-0000-0000-0000F2210000}"/>
    <cellStyle name="Note 3 5 3 3 2" xfId="14175" xr:uid="{6AF518F1-5E3F-440E-8BF9-D6400B7C0870}"/>
    <cellStyle name="Note 3 5 3 4" xfId="9957" xr:uid="{266521F6-401E-40C7-BA6E-CAED0203388C}"/>
    <cellStyle name="Note 3 5 4" xfId="1851" xr:uid="{00000000-0005-0000-0000-0000F3210000}"/>
    <cellStyle name="Note 3 5 4 2" xfId="4080" xr:uid="{00000000-0005-0000-0000-0000F4210000}"/>
    <cellStyle name="Note 3 5 4 2 2" xfId="8304" xr:uid="{00000000-0005-0000-0000-0000F5210000}"/>
    <cellStyle name="Note 3 5 4 2 2 2" xfId="16733" xr:uid="{6FBEC408-1220-4487-A64B-DE25AA3B3E76}"/>
    <cellStyle name="Note 3 5 4 2 3" xfId="12515" xr:uid="{BD5FEDF8-F5A8-47D5-B4D9-9A89392EAA28}"/>
    <cellStyle name="Note 3 5 4 3" xfId="6159" xr:uid="{00000000-0005-0000-0000-0000F6210000}"/>
    <cellStyle name="Note 3 5 4 3 2" xfId="14588" xr:uid="{11A8471E-629D-450D-8799-7D8DF329FEA5}"/>
    <cellStyle name="Note 3 5 4 4" xfId="10370" xr:uid="{74153BA5-854C-4872-B16C-C0F5BF99213D}"/>
    <cellStyle name="Note 3 5 5" xfId="2264" xr:uid="{00000000-0005-0000-0000-0000F7210000}"/>
    <cellStyle name="Note 3 5 5 2" xfId="4493" xr:uid="{00000000-0005-0000-0000-0000F8210000}"/>
    <cellStyle name="Note 3 5 5 2 2" xfId="8717" xr:uid="{00000000-0005-0000-0000-0000F9210000}"/>
    <cellStyle name="Note 3 5 5 2 2 2" xfId="17146" xr:uid="{6B8EF585-BD77-4961-BD0D-4063D4DE6701}"/>
    <cellStyle name="Note 3 5 5 2 3" xfId="12928" xr:uid="{DAACCD7B-3B54-4191-AA2D-1BCC85233459}"/>
    <cellStyle name="Note 3 5 5 3" xfId="6572" xr:uid="{00000000-0005-0000-0000-0000FA210000}"/>
    <cellStyle name="Note 3 5 5 3 2" xfId="15001" xr:uid="{25B79C37-1432-42D4-AD45-3DD37FB14818}"/>
    <cellStyle name="Note 3 5 5 4" xfId="10783" xr:uid="{51CF5F9C-DD5D-4CDF-B8FA-3E4141D3ACBF}"/>
    <cellStyle name="Note 3 5 6" xfId="2700" xr:uid="{00000000-0005-0000-0000-0000FB210000}"/>
    <cellStyle name="Note 3 5 6 2" xfId="6985" xr:uid="{00000000-0005-0000-0000-0000FC210000}"/>
    <cellStyle name="Note 3 5 6 2 2" xfId="15414" xr:uid="{EF7D4108-0D69-4E7A-96F5-A4044CFE1DEF}"/>
    <cellStyle name="Note 3 5 6 3" xfId="11196" xr:uid="{08D212FB-26B3-4932-9231-B7940A0D6EF7}"/>
    <cellStyle name="Note 3 5 7" xfId="2759" xr:uid="{00000000-0005-0000-0000-0000FD210000}"/>
    <cellStyle name="Note 3 5 8" xfId="2840" xr:uid="{00000000-0005-0000-0000-0000FE210000}"/>
    <cellStyle name="Note 3 5 8 2" xfId="7065" xr:uid="{00000000-0005-0000-0000-0000FF210000}"/>
    <cellStyle name="Note 3 5 8 2 2" xfId="15494" xr:uid="{E20107F0-2ACF-44E2-99EF-8509C5CF8F36}"/>
    <cellStyle name="Note 3 5 8 3" xfId="11276" xr:uid="{DBC1090B-15E0-4E3E-8B95-DF32DB165BE3}"/>
    <cellStyle name="Note 3 5 9" xfId="4920" xr:uid="{00000000-0005-0000-0000-000000220000}"/>
    <cellStyle name="Note 3 5 9 2" xfId="13349" xr:uid="{34DD836C-2A0D-4B3E-A61B-C04D8A53F97B}"/>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3 2" xfId="12932" xr:uid="{3B50E549-1FB6-491A-BA63-EE443D7BE294}"/>
    <cellStyle name="Percent 4" xfId="4503" xr:uid="{00000000-0005-0000-0000-000006220000}"/>
    <cellStyle name="Percent 4 2" xfId="12935" xr:uid="{3B1306EC-2427-47B2-B15E-27AB7A6EAE2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137574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Checklist Items "/>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Checklist Items"/>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1" refreshError="1"/>
      <sheetData sheetId="2" refreshError="1"/>
      <sheetData sheetId="3" refreshError="1"/>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activeCell="G243" sqref="G243"/>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6" t="s">
        <v>1388</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5"/>
    </row>
    <row r="8" spans="1:38" ht="13">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5"/>
    </row>
    <row r="9" spans="1:38" ht="13">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76" t="s">
        <v>1392</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5"/>
    </row>
    <row r="12" spans="1:38" ht="13">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5"/>
    </row>
    <row r="13" spans="1:38" s="716" customFormat="1" ht="13">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5"/>
    </row>
    <row r="14" spans="1:38" s="716" customFormat="1" ht="13.2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ht="13">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25"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2"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2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ht="13">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2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ht="13">
      <c r="A33" s="327"/>
      <c r="B33" s="325"/>
      <c r="C33" s="326"/>
      <c r="D33" s="745"/>
      <c r="E33" s="1863" t="s">
        <v>2407</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ht="13">
      <c r="A34" s="149"/>
      <c r="C34" s="5"/>
    </row>
    <row r="35" spans="1:38">
      <c r="A35" s="149"/>
      <c r="D35" s="1877" t="s">
        <v>2408</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ht="13">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689</v>
      </c>
      <c r="F42" s="1862" t="s">
        <v>1358</v>
      </c>
    </row>
    <row r="43" spans="1:38" s="1862" customFormat="1" ht="13.25" customHeight="1">
      <c r="A43" s="149"/>
      <c r="B43" s="716"/>
      <c r="C43" s="5"/>
      <c r="D43" s="149"/>
      <c r="E43" s="149"/>
    </row>
    <row r="44" spans="1:38" ht="13">
      <c r="A44" s="149"/>
      <c r="C44" s="5"/>
      <c r="D44" s="149"/>
      <c r="E44" s="149"/>
      <c r="F44" s="151" t="s">
        <v>724</v>
      </c>
      <c r="G44" s="149" t="s">
        <v>180</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25" customHeight="1">
      <c r="A45" s="149"/>
      <c r="B45"/>
      <c r="C45" s="5"/>
      <c r="D45" s="149"/>
      <c r="E45" s="6" t="s">
        <v>357</v>
      </c>
      <c r="F45" s="1869" t="s">
        <v>1472</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69" customFormat="1" ht="13">
      <c r="A46" s="149"/>
      <c r="B46" s="716"/>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69" customFormat="1" ht="13.25" customHeight="1">
      <c r="A47" s="149"/>
      <c r="B47" s="716"/>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ht="13">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358</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7" t="s">
        <v>1394</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2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25" customHeight="1">
      <c r="A59" s="327"/>
      <c r="B59" s="326"/>
      <c r="C59" s="326"/>
      <c r="D59" s="326"/>
      <c r="E59" s="327"/>
      <c r="F59" s="331" t="s">
        <v>541</v>
      </c>
      <c r="G59" s="1868" t="s">
        <v>1474</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ht="13">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ht="13">
      <c r="A61" s="329"/>
      <c r="B61" s="328"/>
      <c r="C61" s="330"/>
      <c r="D61" s="330"/>
      <c r="E61" s="329"/>
      <c r="F61" s="332"/>
      <c r="G61" s="777" t="s">
        <v>1518</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541</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357</v>
      </c>
      <c r="F71" s="149" t="s">
        <v>441</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724</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541</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5" t="s">
        <v>1366</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6" customFormat="1" ht="13">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ht="13">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0"/>
      <c r="E100" s="1866" t="s">
        <v>1369</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ht="13">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395</v>
      </c>
    </row>
    <row r="123" spans="1:38">
      <c r="E123" s="149"/>
      <c r="F123" s="149" t="s">
        <v>1112</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6" customFormat="1" ht="13">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546</v>
      </c>
      <c r="E137" s="5" t="s">
        <v>549</v>
      </c>
      <c r="F137" s="5"/>
    </row>
    <row r="138" spans="4:37">
      <c r="E138" s="882" t="s">
        <v>1421</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6"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451</v>
      </c>
      <c r="G342" s="195" t="s">
        <v>1441</v>
      </c>
      <c r="I342" s="183"/>
      <c r="J342" s="149"/>
      <c r="K342" s="149"/>
      <c r="L342" s="149"/>
      <c r="M342" s="149"/>
      <c r="N342" s="149"/>
      <c r="O342" s="149"/>
      <c r="P342" s="149"/>
      <c r="Q342" s="149"/>
      <c r="R342" s="149"/>
      <c r="S342" s="149"/>
    </row>
    <row r="343" spans="2:37" s="716" customFormat="1" ht="13.25" customHeight="1">
      <c r="B343" s="5"/>
      <c r="E343" s="1867" t="s">
        <v>1448</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ht="13">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ht="13">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ht="13">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ht="13">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ht="13">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ht="13">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2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2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6" customFormat="1" ht="13">
      <c r="B367" s="5"/>
      <c r="E367" s="1871" t="s">
        <v>1439</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6" customFormat="1" ht="13">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ht="13">
      <c r="A369"/>
      <c r="B369" s="5"/>
      <c r="C369"/>
      <c r="D369"/>
      <c r="E369" s="1872" t="s">
        <v>1488</v>
      </c>
    </row>
    <row r="370" spans="1:38" s="1873"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546</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310</v>
      </c>
      <c r="E385" s="5" t="s">
        <v>289</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4" t="s">
        <v>1499</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ht="13">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ht="13">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449</v>
      </c>
      <c r="E392" s="5" t="s">
        <v>1508</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25" customHeight="1">
      <c r="A393" s="676"/>
      <c r="B393" s="183"/>
      <c r="C393" s="676"/>
      <c r="D393" s="5"/>
      <c r="E393" s="6" t="s">
        <v>1507</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5"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2" t="s">
        <v>1156</v>
      </c>
      <c r="B2" s="1912"/>
      <c r="C2" s="1913"/>
      <c r="D2" s="1913"/>
      <c r="E2" s="1913"/>
      <c r="F2" s="1913"/>
      <c r="G2" s="1913"/>
    </row>
    <row r="3" spans="1:9" s="256" customFormat="1" ht="13">
      <c r="A3" s="1912" t="s">
        <v>1086</v>
      </c>
      <c r="B3" s="1912"/>
      <c r="C3" s="1913"/>
      <c r="D3" s="1913"/>
      <c r="E3" s="1913"/>
      <c r="F3" s="1913"/>
      <c r="G3" s="1913"/>
      <c r="I3" s="676" t="s">
        <v>315</v>
      </c>
    </row>
    <row r="4" spans="1:9">
      <c r="I4" s="677" t="s">
        <v>1157</v>
      </c>
    </row>
    <row r="5" spans="1:9" s="39" customFormat="1" ht="13">
      <c r="A5" s="1916" t="s">
        <v>1087</v>
      </c>
      <c r="B5" s="1916"/>
      <c r="C5" s="1917"/>
      <c r="D5" s="1917"/>
      <c r="E5" s="1917"/>
      <c r="F5" s="1917"/>
      <c r="G5" s="1917"/>
      <c r="I5" s="677" t="s">
        <v>1158</v>
      </c>
    </row>
    <row r="6" spans="1:9" s="39" customFormat="1" ht="13">
      <c r="A6" s="1916" t="s">
        <v>879</v>
      </c>
      <c r="B6" s="1916"/>
      <c r="C6" s="1917"/>
      <c r="D6" s="1917"/>
      <c r="E6" s="1917"/>
      <c r="F6" s="1917"/>
      <c r="G6" s="1917"/>
      <c r="I6" s="676" t="s">
        <v>625</v>
      </c>
    </row>
    <row r="7" spans="1:9" ht="12" customHeight="1"/>
    <row r="8" spans="1:9" s="39" customFormat="1" ht="13">
      <c r="A8" s="1914" t="s">
        <v>1253</v>
      </c>
      <c r="B8" s="1914"/>
      <c r="C8" s="1915"/>
      <c r="D8" s="1915"/>
      <c r="E8" s="1915"/>
      <c r="F8" s="1915"/>
      <c r="G8" s="1915"/>
    </row>
    <row r="9" spans="1:9" s="39" customFormat="1" ht="13">
      <c r="A9" s="1914" t="s">
        <v>1254</v>
      </c>
      <c r="B9" s="1914"/>
      <c r="C9" s="1915"/>
      <c r="D9" s="1915"/>
      <c r="E9" s="1915"/>
      <c r="F9" s="1915"/>
      <c r="G9" s="1915"/>
    </row>
    <row r="10" spans="1:9" ht="13">
      <c r="A10" s="258"/>
      <c r="B10" s="258"/>
      <c r="C10" s="255"/>
      <c r="D10" s="255"/>
      <c r="E10" s="255"/>
      <c r="F10" s="255"/>
    </row>
    <row r="11" spans="1:9" ht="13">
      <c r="A11" s="1918" t="s">
        <v>1256</v>
      </c>
      <c r="B11" s="1918"/>
      <c r="C11" s="1918"/>
      <c r="D11" s="1918"/>
      <c r="E11" s="1918"/>
      <c r="F11" s="1918"/>
      <c r="G11" s="1918"/>
    </row>
    <row r="12" spans="1:9" ht="13">
      <c r="A12" s="255"/>
      <c r="B12" s="672"/>
      <c r="E12" s="50"/>
    </row>
    <row r="13" spans="1:9" ht="13.25" customHeight="1">
      <c r="C13" s="255"/>
      <c r="D13" s="1890" t="s">
        <v>1255</v>
      </c>
      <c r="E13" s="1890"/>
      <c r="F13" s="1890"/>
    </row>
    <row r="14" spans="1:9" ht="13">
      <c r="C14" s="255"/>
      <c r="D14" s="1890"/>
      <c r="E14" s="1890"/>
      <c r="F14" s="1890"/>
    </row>
    <row r="15" spans="1:9" ht="13">
      <c r="A15" s="260"/>
      <c r="B15" s="260"/>
      <c r="C15" s="260"/>
      <c r="D15" s="1887" t="s">
        <v>1238</v>
      </c>
      <c r="E15" s="1887"/>
      <c r="F15" s="1887"/>
    </row>
    <row r="16" spans="1:9" ht="13">
      <c r="A16" s="260"/>
      <c r="B16" s="260"/>
      <c r="C16" s="260"/>
      <c r="D16" s="327"/>
    </row>
    <row r="17" spans="1:7" ht="13">
      <c r="A17" s="261"/>
      <c r="B17" s="678" t="s">
        <v>315</v>
      </c>
      <c r="C17" s="313"/>
      <c r="D17" s="1862" t="s">
        <v>1239</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8" t="s">
        <v>315</v>
      </c>
      <c r="D21" s="1891" t="s">
        <v>1240</v>
      </c>
      <c r="E21" s="1891"/>
      <c r="F21" s="1891"/>
    </row>
    <row r="22" spans="1:7" ht="13">
      <c r="A22" s="261"/>
      <c r="B22" s="261"/>
      <c r="D22" s="135"/>
    </row>
    <row r="23" spans="1:7" ht="13">
      <c r="A23" s="261"/>
      <c r="B23" s="678" t="s">
        <v>315</v>
      </c>
      <c r="D23" s="1862" t="s">
        <v>1241</v>
      </c>
      <c r="E23" s="1862"/>
      <c r="F23" s="1862"/>
    </row>
    <row r="24" spans="1:7" ht="13">
      <c r="A24" s="261"/>
      <c r="B24" s="261"/>
      <c r="D24" s="1862"/>
      <c r="E24" s="1862"/>
      <c r="F24" s="1862"/>
    </row>
    <row r="25" spans="1:7"/>
    <row r="26" spans="1:7" ht="13">
      <c r="A26" s="261"/>
      <c r="B26" s="678" t="s">
        <v>315</v>
      </c>
      <c r="D26" s="1885" t="s">
        <v>1242</v>
      </c>
      <c r="E26" s="1885"/>
      <c r="F26" s="1885"/>
    </row>
    <row r="27" spans="1:7">
      <c r="D27" s="1885"/>
      <c r="E27" s="1885"/>
      <c r="F27" s="1885"/>
    </row>
    <row r="28" spans="1:7">
      <c r="D28" s="1885"/>
      <c r="E28" s="1885"/>
      <c r="F28" s="1885"/>
    </row>
    <row r="29" spans="1:7">
      <c r="A29" s="557"/>
      <c r="C29" s="557"/>
      <c r="D29" s="1885"/>
      <c r="E29" s="1885"/>
      <c r="F29" s="1885"/>
    </row>
    <row r="30" spans="1:7">
      <c r="A30" s="557"/>
      <c r="C30" s="557"/>
      <c r="D30" s="1885"/>
      <c r="E30" s="1885"/>
      <c r="F30" s="1885"/>
    </row>
    <row r="31" spans="1:7" s="39" customFormat="1">
      <c r="A31" s="273"/>
      <c r="B31" s="273"/>
      <c r="C31" s="273"/>
      <c r="D31" s="442"/>
      <c r="E31" s="130"/>
      <c r="F31" s="130"/>
      <c r="G31" s="130"/>
    </row>
    <row r="32" spans="1:7" s="39" customFormat="1">
      <c r="A32" s="273"/>
      <c r="B32" s="678" t="s">
        <v>315</v>
      </c>
      <c r="C32" s="273"/>
      <c r="D32" s="1864" t="s">
        <v>1243</v>
      </c>
      <c r="E32" s="1864"/>
      <c r="F32" s="1864"/>
      <c r="G32" s="130"/>
    </row>
    <row r="33" spans="1:7" s="39" customFormat="1">
      <c r="A33" s="273"/>
      <c r="B33" s="273"/>
      <c r="C33" s="273"/>
      <c r="D33" s="1864"/>
      <c r="E33" s="1864"/>
      <c r="F33" s="1864"/>
      <c r="G33" s="130"/>
    </row>
    <row r="34" spans="1:7" ht="13">
      <c r="A34" s="261"/>
      <c r="B34" s="261"/>
      <c r="D34" s="403"/>
    </row>
    <row r="35" spans="1:7" ht="14.5" customHeight="1">
      <c r="A35" s="261"/>
      <c r="B35" s="678" t="s">
        <v>315</v>
      </c>
      <c r="C35" s="553"/>
      <c r="D35" s="1864" t="s">
        <v>1244</v>
      </c>
      <c r="E35" s="1864"/>
      <c r="F35" s="1864"/>
    </row>
    <row r="36" spans="1:7" ht="13">
      <c r="A36" s="261"/>
      <c r="B36" s="261"/>
      <c r="C36" s="553"/>
      <c r="D36" s="1864"/>
      <c r="E36" s="1864"/>
      <c r="F36" s="1864"/>
    </row>
    <row r="37" spans="1:7" ht="13">
      <c r="A37" s="261"/>
      <c r="B37" s="261"/>
      <c r="C37" s="553"/>
      <c r="D37" s="1864"/>
      <c r="E37" s="1864"/>
      <c r="F37" s="1864"/>
    </row>
    <row r="38" spans="1:7" ht="13">
      <c r="A38" s="261"/>
      <c r="B38" s="261"/>
      <c r="C38" s="553"/>
      <c r="D38" s="12"/>
    </row>
    <row r="39" spans="1:7" s="681" customFormat="1" ht="13">
      <c r="A39" s="261"/>
      <c r="B39" s="678" t="s">
        <v>315</v>
      </c>
      <c r="C39" s="698"/>
      <c r="D39" s="1864" t="s">
        <v>1245</v>
      </c>
      <c r="E39" s="1864"/>
      <c r="F39" s="1864"/>
      <c r="G39" s="7"/>
    </row>
    <row r="40" spans="1:7" s="681" customFormat="1" ht="13">
      <c r="A40" s="261"/>
      <c r="B40" s="261"/>
      <c r="C40" s="698"/>
      <c r="D40" s="1864"/>
      <c r="E40" s="1864"/>
      <c r="F40" s="1864"/>
      <c r="G40" s="7"/>
    </row>
    <row r="41" spans="1:7" s="681" customFormat="1" ht="13">
      <c r="A41" s="261"/>
      <c r="B41" s="261"/>
      <c r="C41" s="698"/>
      <c r="D41" s="1864"/>
      <c r="E41" s="1864"/>
      <c r="F41" s="1864"/>
      <c r="G41" s="7"/>
    </row>
    <row r="42" spans="1:7" s="681" customFormat="1" ht="13">
      <c r="A42" s="261"/>
      <c r="B42" s="261"/>
      <c r="C42" s="698"/>
      <c r="D42" s="1864"/>
      <c r="E42" s="1864"/>
      <c r="F42" s="1864"/>
      <c r="G42" s="7"/>
    </row>
    <row r="43" spans="1:7" s="681" customFormat="1" ht="13">
      <c r="A43" s="261"/>
      <c r="B43" s="261"/>
      <c r="C43" s="698"/>
      <c r="D43" s="1864"/>
      <c r="E43" s="1864"/>
      <c r="F43" s="1864"/>
      <c r="G43" s="7"/>
    </row>
    <row r="44" spans="1:7" s="681" customFormat="1" ht="13">
      <c r="A44" s="261"/>
      <c r="B44" s="261"/>
      <c r="C44" s="698"/>
      <c r="D44" s="697"/>
      <c r="E44" s="697"/>
      <c r="F44" s="697"/>
      <c r="G44" s="7"/>
    </row>
    <row r="45" spans="1:7" ht="13">
      <c r="A45" s="261"/>
      <c r="B45" s="678" t="s">
        <v>315</v>
      </c>
      <c r="C45" s="553"/>
      <c r="D45" s="1864" t="s">
        <v>1246</v>
      </c>
      <c r="E45" s="1864"/>
      <c r="F45" s="1864"/>
    </row>
    <row r="46" spans="1:7" ht="13">
      <c r="A46" s="261"/>
      <c r="B46" s="261"/>
      <c r="C46" s="553"/>
      <c r="D46" s="1864"/>
      <c r="E46" s="1864"/>
      <c r="F46" s="1864"/>
    </row>
    <row r="47" spans="1:7" ht="13">
      <c r="A47" s="261"/>
      <c r="B47" s="261"/>
      <c r="C47" s="553"/>
      <c r="D47" s="1864"/>
      <c r="E47" s="1864"/>
      <c r="F47" s="1864"/>
    </row>
    <row r="48" spans="1:7" ht="23.25" customHeight="1">
      <c r="A48" s="261"/>
      <c r="B48" s="261"/>
      <c r="C48" s="553"/>
      <c r="D48" s="1864"/>
      <c r="E48" s="1864"/>
      <c r="F48" s="1864"/>
    </row>
    <row r="49" spans="1:7" ht="13">
      <c r="A49" s="261"/>
      <c r="B49" s="261"/>
      <c r="D49" s="151"/>
    </row>
    <row r="50" spans="1:7" ht="14.5" customHeight="1">
      <c r="A50" s="261"/>
      <c r="B50" s="678" t="s">
        <v>315</v>
      </c>
      <c r="D50" s="1864" t="s">
        <v>1247</v>
      </c>
      <c r="E50" s="1864"/>
      <c r="F50" s="1864"/>
    </row>
    <row r="51" spans="1:7" ht="13">
      <c r="A51" s="261"/>
      <c r="B51" s="261"/>
      <c r="D51" s="1864"/>
      <c r="E51" s="1864"/>
      <c r="F51" s="1864"/>
    </row>
    <row r="52" spans="1:7" ht="13">
      <c r="A52" s="261"/>
      <c r="B52" s="261"/>
      <c r="D52" s="1864"/>
      <c r="E52" s="1864"/>
      <c r="F52" s="1864"/>
    </row>
    <row r="53" spans="1:7" s="2" customFormat="1" ht="13">
      <c r="A53" s="261"/>
      <c r="B53" s="261"/>
      <c r="C53" s="555"/>
      <c r="D53" s="239"/>
      <c r="E53" s="22"/>
      <c r="F53" s="22"/>
      <c r="G53" s="22"/>
    </row>
    <row r="54" spans="1:7" s="2" customFormat="1" ht="13">
      <c r="A54" s="402"/>
      <c r="B54" s="678" t="s">
        <v>315</v>
      </c>
      <c r="C54" s="556"/>
      <c r="D54" s="1864" t="s">
        <v>1248</v>
      </c>
      <c r="E54" s="1864"/>
      <c r="F54" s="1864"/>
      <c r="G54" s="22"/>
    </row>
    <row r="55" spans="1:7" s="2" customFormat="1" ht="13">
      <c r="A55" s="402"/>
      <c r="B55" s="402"/>
      <c r="C55" s="556"/>
      <c r="D55" s="1864"/>
      <c r="E55" s="1864"/>
      <c r="F55" s="1864"/>
      <c r="G55" s="22"/>
    </row>
    <row r="56" spans="1:7" s="39" customFormat="1">
      <c r="A56" s="273"/>
      <c r="B56" s="273"/>
      <c r="C56" s="273"/>
      <c r="D56" s="442"/>
      <c r="E56" s="130"/>
      <c r="F56" s="130"/>
      <c r="G56" s="130"/>
    </row>
    <row r="57" spans="1:7" ht="13">
      <c r="A57" s="261"/>
      <c r="B57" s="678" t="s">
        <v>315</v>
      </c>
      <c r="D57" s="1864" t="s">
        <v>1249</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3">
      <c r="A61" s="261"/>
      <c r="B61" s="678" t="s">
        <v>315</v>
      </c>
      <c r="D61" s="1864" t="s">
        <v>1250</v>
      </c>
      <c r="E61" s="1864"/>
      <c r="F61" s="1864"/>
    </row>
    <row r="62" spans="1:7">
      <c r="D62" s="1864"/>
      <c r="E62" s="1864"/>
      <c r="F62" s="1864"/>
    </row>
    <row r="63" spans="1:7"/>
    <row r="64" spans="1:7" ht="13">
      <c r="A64" s="261"/>
      <c r="B64" s="678" t="s">
        <v>315</v>
      </c>
      <c r="D64" s="1864" t="s">
        <v>1251</v>
      </c>
      <c r="E64" s="1864"/>
      <c r="F64" s="1864"/>
    </row>
    <row r="65" spans="1:7">
      <c r="D65" s="1864"/>
      <c r="E65" s="1864"/>
      <c r="F65" s="1864"/>
    </row>
    <row r="66" spans="1:7">
      <c r="A66" s="554"/>
      <c r="C66" s="554"/>
      <c r="D66" s="1864"/>
      <c r="E66" s="1864"/>
      <c r="F66" s="1864"/>
    </row>
    <row r="67" spans="1:7">
      <c r="D67" s="12"/>
    </row>
    <row r="68" spans="1:7" ht="13">
      <c r="A68" s="261"/>
      <c r="B68" s="678" t="s">
        <v>315</v>
      </c>
      <c r="D68" s="1862" t="s">
        <v>1252</v>
      </c>
      <c r="E68" s="1862"/>
      <c r="F68" s="1862"/>
    </row>
    <row r="69" spans="1:7">
      <c r="D69" s="1862"/>
      <c r="E69" s="1862"/>
      <c r="F69" s="1862"/>
    </row>
    <row r="70" spans="1:7" ht="13">
      <c r="A70" s="261"/>
      <c r="B70" s="261"/>
      <c r="D70" s="135"/>
    </row>
    <row r="71" spans="1:7" ht="13">
      <c r="A71" s="1888" t="s">
        <v>1159</v>
      </c>
      <c r="B71" s="1888"/>
      <c r="C71" s="1888"/>
      <c r="D71" s="1888"/>
      <c r="E71" s="1888"/>
      <c r="F71" s="1888"/>
      <c r="G71" s="1888"/>
    </row>
    <row r="72" spans="1:7"/>
    <row r="73" spans="1:7" ht="13">
      <c r="C73" s="262"/>
      <c r="D73" s="1904" t="s">
        <v>1257</v>
      </c>
      <c r="E73" s="1904"/>
      <c r="F73" s="1904"/>
    </row>
    <row r="74" spans="1:7">
      <c r="A74" s="135"/>
      <c r="B74" s="135"/>
      <c r="D74" s="1862" t="s">
        <v>1284</v>
      </c>
      <c r="E74" s="1862"/>
      <c r="F74" s="1862"/>
    </row>
    <row r="75" spans="1:7">
      <c r="A75" s="135"/>
      <c r="B75" s="135"/>
    </row>
    <row r="76" spans="1:7" ht="13">
      <c r="A76" s="261"/>
      <c r="B76" s="678" t="s">
        <v>315</v>
      </c>
      <c r="D76" s="1862" t="s">
        <v>1258</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5" customFormat="1" ht="13">
      <c r="A82" s="706"/>
      <c r="B82" s="706"/>
      <c r="C82" s="704"/>
      <c r="D82" s="708"/>
      <c r="E82" s="708"/>
      <c r="F82" s="708"/>
      <c r="G82" s="7"/>
    </row>
    <row r="83" spans="1:7" s="705" customFormat="1" ht="14.5" customHeight="1">
      <c r="A83" s="706"/>
      <c r="B83" s="711" t="s">
        <v>315</v>
      </c>
      <c r="C83" s="704"/>
      <c r="D83" s="1919" t="s">
        <v>1357</v>
      </c>
      <c r="E83" s="1919"/>
      <c r="F83" s="1919"/>
      <c r="G83" s="7"/>
    </row>
    <row r="84" spans="1:7" s="705" customFormat="1" ht="13">
      <c r="A84" s="706"/>
      <c r="B84" s="706"/>
      <c r="C84" s="704"/>
      <c r="D84" s="1919"/>
      <c r="E84" s="1919"/>
      <c r="F84" s="1919"/>
      <c r="G84" s="7"/>
    </row>
    <row r="85" spans="1:7" s="705" customFormat="1" ht="13">
      <c r="A85" s="706"/>
      <c r="B85" s="706"/>
      <c r="C85" s="704"/>
      <c r="D85" s="1919"/>
      <c r="E85" s="1919"/>
      <c r="F85" s="1919"/>
      <c r="G85" s="7"/>
    </row>
    <row r="86" spans="1:7" s="705" customFormat="1" ht="13">
      <c r="A86" s="706"/>
      <c r="B86" s="706"/>
      <c r="C86" s="704"/>
      <c r="D86" s="1919"/>
      <c r="E86" s="1919"/>
      <c r="F86" s="1919"/>
      <c r="G86" s="7"/>
    </row>
    <row r="87" spans="1:7" s="705" customFormat="1" ht="13">
      <c r="A87" s="706"/>
      <c r="B87" s="706"/>
      <c r="C87" s="704"/>
      <c r="D87" s="1919"/>
      <c r="E87" s="1919"/>
      <c r="F87" s="1919"/>
      <c r="G87" s="7"/>
    </row>
    <row r="88" spans="1:7" s="718" customFormat="1" ht="13">
      <c r="A88" s="713"/>
      <c r="B88" s="713"/>
      <c r="C88" s="744"/>
      <c r="D88" s="1919"/>
      <c r="E88" s="1919"/>
      <c r="F88" s="1919"/>
      <c r="G88" s="7"/>
    </row>
    <row r="89" spans="1:7" s="718" customFormat="1" ht="13">
      <c r="A89" s="713"/>
      <c r="B89" s="713"/>
      <c r="C89" s="744"/>
      <c r="D89" s="1919"/>
      <c r="E89" s="1919"/>
      <c r="F89" s="1919"/>
      <c r="G89" s="7"/>
    </row>
    <row r="90" spans="1:7" s="718" customFormat="1" ht="13">
      <c r="A90" s="713"/>
      <c r="B90" s="713"/>
      <c r="C90" s="744"/>
      <c r="D90" s="1919"/>
      <c r="E90" s="1919"/>
      <c r="F90" s="1919"/>
      <c r="G90" s="7"/>
    </row>
    <row r="91" spans="1:7" ht="13">
      <c r="A91" s="261"/>
      <c r="B91" s="261"/>
      <c r="D91" s="1919"/>
      <c r="E91" s="1919"/>
      <c r="F91" s="1919"/>
    </row>
    <row r="92" spans="1:7" ht="13">
      <c r="A92" s="261"/>
      <c r="B92" s="261"/>
      <c r="D92" s="1919"/>
      <c r="E92" s="1919"/>
      <c r="F92" s="1919"/>
    </row>
    <row r="93" spans="1:7" ht="13">
      <c r="A93" s="261"/>
      <c r="B93" s="261"/>
      <c r="D93" s="1919"/>
      <c r="E93" s="1919"/>
      <c r="F93" s="1919"/>
    </row>
    <row r="94" spans="1:7" ht="13">
      <c r="A94" s="261"/>
      <c r="B94" s="261"/>
      <c r="D94" s="1919"/>
      <c r="E94" s="1919"/>
      <c r="F94" s="1919"/>
    </row>
    <row r="95" spans="1:7" ht="13">
      <c r="A95" s="261"/>
      <c r="B95" s="261"/>
      <c r="D95" s="1919"/>
      <c r="E95" s="1919"/>
      <c r="F95" s="1919"/>
    </row>
    <row r="96" spans="1:7" ht="13">
      <c r="A96" s="261"/>
      <c r="B96" s="261"/>
      <c r="D96" s="1919"/>
      <c r="E96" s="1919"/>
      <c r="F96" s="1919"/>
    </row>
    <row r="97" spans="1:11" s="709" customFormat="1" ht="13">
      <c r="A97" s="710"/>
      <c r="B97" s="714" t="s">
        <v>315</v>
      </c>
      <c r="C97" s="704"/>
      <c r="D97" s="1862" t="s">
        <v>1259</v>
      </c>
      <c r="E97" s="1862"/>
      <c r="F97" s="1862"/>
      <c r="G97" s="7"/>
    </row>
    <row r="98" spans="1:11" s="709" customFormat="1" ht="13">
      <c r="A98" s="710"/>
      <c r="B98" s="710"/>
      <c r="C98" s="704"/>
      <c r="D98" s="1862"/>
      <c r="E98" s="1862"/>
      <c r="F98" s="1862"/>
      <c r="G98" s="7"/>
    </row>
    <row r="99" spans="1:11" s="709" customFormat="1" ht="13">
      <c r="A99" s="710"/>
      <c r="B99" s="710"/>
      <c r="C99" s="704"/>
      <c r="D99" s="1862"/>
      <c r="E99" s="1862"/>
      <c r="F99" s="1862"/>
      <c r="G99" s="7"/>
    </row>
    <row r="100" spans="1:11" s="709" customFormat="1" ht="13">
      <c r="A100" s="710"/>
      <c r="B100" s="710"/>
      <c r="C100" s="704"/>
      <c r="D100" s="1862"/>
      <c r="E100" s="1862"/>
      <c r="F100" s="1862"/>
      <c r="G100" s="7"/>
    </row>
    <row r="101" spans="1:11" s="709" customFormat="1" ht="13">
      <c r="A101" s="710"/>
      <c r="B101" s="710"/>
      <c r="C101" s="704"/>
      <c r="D101" s="1862"/>
      <c r="E101" s="1862"/>
      <c r="F101" s="1862"/>
      <c r="G101" s="7"/>
    </row>
    <row r="102" spans="1:11" s="709" customFormat="1" ht="13">
      <c r="A102" s="710"/>
      <c r="B102" s="710"/>
      <c r="C102" s="704"/>
      <c r="D102" s="1862"/>
      <c r="E102" s="1862"/>
      <c r="F102" s="1862"/>
      <c r="G102" s="7"/>
    </row>
    <row r="103" spans="1:11" s="709" customFormat="1" ht="13">
      <c r="A103" s="710"/>
      <c r="B103" s="710"/>
      <c r="C103" s="704"/>
      <c r="D103" s="1862"/>
      <c r="E103" s="1862"/>
      <c r="F103" s="1862"/>
      <c r="G103" s="7"/>
    </row>
    <row r="104" spans="1:11" s="709" customFormat="1" ht="13">
      <c r="A104" s="710"/>
      <c r="B104" s="710"/>
      <c r="C104" s="704"/>
      <c r="D104" s="1862"/>
      <c r="E104" s="1862"/>
      <c r="F104" s="1862"/>
      <c r="G104" s="7"/>
    </row>
    <row r="105" spans="1:11" s="712" customFormat="1" ht="13">
      <c r="A105" s="713"/>
      <c r="B105" s="713"/>
      <c r="C105" s="704"/>
      <c r="D105" s="715"/>
      <c r="E105" s="715"/>
      <c r="F105" s="715"/>
      <c r="G105" s="7"/>
    </row>
    <row r="106" spans="1:11" ht="13">
      <c r="A106" s="402"/>
      <c r="B106" s="707" t="s">
        <v>315</v>
      </c>
      <c r="C106" s="468"/>
      <c r="D106" s="1920" t="s">
        <v>1260</v>
      </c>
      <c r="E106" s="1920"/>
      <c r="F106" s="1920"/>
      <c r="G106" s="469"/>
      <c r="H106" s="467"/>
      <c r="I106" s="467"/>
      <c r="J106" s="467"/>
      <c r="K106" s="467"/>
    </row>
    <row r="107" spans="1:11" ht="13">
      <c r="A107" s="261"/>
      <c r="B107" s="261"/>
      <c r="C107" s="315"/>
      <c r="D107" s="1920"/>
      <c r="E107" s="1920"/>
      <c r="F107" s="1920"/>
      <c r="G107" s="469"/>
      <c r="H107" s="467"/>
      <c r="I107" s="467"/>
      <c r="J107" s="467"/>
      <c r="K107" s="467"/>
    </row>
    <row r="108" spans="1:11" ht="13">
      <c r="A108" s="261"/>
      <c r="B108" s="261"/>
      <c r="C108" s="315"/>
      <c r="D108" s="1920"/>
      <c r="E108" s="1920"/>
      <c r="F108" s="1920"/>
      <c r="G108" s="469"/>
      <c r="H108" s="467"/>
      <c r="I108" s="467"/>
      <c r="J108" s="467"/>
      <c r="K108" s="467"/>
    </row>
    <row r="109" spans="1:11" ht="13">
      <c r="A109" s="261"/>
      <c r="B109" s="261"/>
      <c r="C109" s="315"/>
      <c r="D109" s="1920"/>
      <c r="E109" s="1920"/>
      <c r="F109" s="1920"/>
      <c r="G109" s="469"/>
      <c r="H109" s="467"/>
      <c r="I109" s="467"/>
      <c r="J109" s="467"/>
      <c r="K109" s="467"/>
    </row>
    <row r="110" spans="1:11" ht="13">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3">
      <c r="A114" s="261"/>
      <c r="B114" s="678" t="s">
        <v>315</v>
      </c>
      <c r="C114"/>
      <c r="D114" s="1921" t="s">
        <v>1261</v>
      </c>
      <c r="E114" s="1921"/>
      <c r="F114" s="1921"/>
      <c r="G114"/>
      <c r="H114"/>
      <c r="I114"/>
      <c r="J114"/>
      <c r="K114"/>
    </row>
    <row r="115" spans="1:11" ht="13">
      <c r="A115" s="261"/>
      <c r="B115" s="261"/>
      <c r="C115"/>
      <c r="D115" s="1921"/>
      <c r="E115" s="1921"/>
      <c r="F115" s="1921"/>
      <c r="G115"/>
      <c r="H115"/>
      <c r="I115"/>
      <c r="J115"/>
      <c r="K115"/>
    </row>
    <row r="116" spans="1:11"/>
    <row r="117" spans="1:11" ht="13">
      <c r="A117" s="261"/>
      <c r="B117" s="678" t="s">
        <v>315</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8" t="s">
        <v>315</v>
      </c>
      <c r="C123" s="10"/>
      <c r="D123" s="1864" t="s">
        <v>1263</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75"/>
      <c r="C125" s="10"/>
      <c r="D125" s="1864"/>
      <c r="E125" s="1864"/>
      <c r="F125" s="1864"/>
      <c r="G125" s="149"/>
    </row>
    <row r="126" spans="1:11" customFormat="1" ht="13.75" customHeight="1">
      <c r="A126" s="132"/>
      <c r="B126" s="675"/>
      <c r="C126" s="10"/>
      <c r="D126" s="1864"/>
      <c r="E126" s="1864"/>
      <c r="F126" s="1864"/>
      <c r="G126" s="149"/>
    </row>
    <row r="127" spans="1:11" customFormat="1" ht="13.75" customHeight="1">
      <c r="A127" s="132"/>
      <c r="B127" s="675"/>
      <c r="C127" s="10"/>
      <c r="D127" s="1864"/>
      <c r="E127" s="1864"/>
      <c r="F127" s="1864"/>
      <c r="G127" s="149"/>
    </row>
    <row r="128" spans="1:11" customFormat="1" ht="13.75" customHeight="1">
      <c r="A128" s="378"/>
      <c r="B128" s="378"/>
      <c r="C128" s="10"/>
      <c r="D128" s="1864"/>
      <c r="E128" s="1864"/>
      <c r="F128" s="1864"/>
      <c r="G128" s="149"/>
    </row>
    <row r="129" spans="1:7" s="2" customFormat="1" ht="13.75" customHeight="1">
      <c r="A129" s="273"/>
      <c r="B129" s="273"/>
      <c r="C129" s="441"/>
      <c r="D129" s="1864"/>
      <c r="E129" s="1864"/>
      <c r="F129" s="1864"/>
      <c r="G129" s="182"/>
    </row>
    <row r="130" spans="1:7" s="2" customFormat="1" ht="13.75" customHeight="1">
      <c r="A130" s="273"/>
      <c r="B130" s="273"/>
      <c r="C130" s="441"/>
      <c r="D130" s="1864"/>
      <c r="E130" s="1864"/>
      <c r="F130" s="1864"/>
      <c r="G130" s="182"/>
    </row>
    <row r="131" spans="1:7" customFormat="1" ht="13.75" customHeight="1">
      <c r="A131" s="132"/>
      <c r="B131" s="675"/>
      <c r="C131" s="10"/>
      <c r="D131" s="1864"/>
      <c r="E131" s="1864"/>
      <c r="F131" s="1864"/>
      <c r="G131" s="149"/>
    </row>
    <row r="132" spans="1:7" customFormat="1" ht="13.75" customHeight="1">
      <c r="A132" s="132"/>
      <c r="B132" s="675"/>
      <c r="C132" s="10"/>
      <c r="D132" s="1864"/>
      <c r="E132" s="1864"/>
      <c r="F132" s="1864"/>
      <c r="G132" s="149"/>
    </row>
    <row r="133" spans="1:7" customFormat="1" ht="13.75" customHeight="1">
      <c r="A133" s="132"/>
      <c r="B133" s="675"/>
      <c r="C133" s="10"/>
      <c r="D133" s="1864"/>
      <c r="E133" s="1864"/>
      <c r="F133" s="1864"/>
      <c r="G133" s="149"/>
    </row>
    <row r="134" spans="1:7" customFormat="1" ht="13.75" customHeight="1">
      <c r="A134" s="132"/>
      <c r="B134" s="675"/>
      <c r="C134" s="10"/>
      <c r="D134" s="1864"/>
      <c r="E134" s="1864"/>
      <c r="F134" s="1864"/>
      <c r="G134" s="149"/>
    </row>
    <row r="135" spans="1:7" customFormat="1" ht="13.75" customHeight="1">
      <c r="A135" s="132"/>
      <c r="B135" s="675"/>
      <c r="C135" s="10"/>
      <c r="D135" s="327"/>
      <c r="E135" s="151"/>
      <c r="F135" s="151"/>
      <c r="G135" s="149"/>
    </row>
    <row r="136" spans="1:7" s="716" customFormat="1" ht="13.75" customHeight="1">
      <c r="A136" s="704"/>
      <c r="B136" s="717" t="s">
        <v>315</v>
      </c>
      <c r="C136" s="10"/>
      <c r="D136" s="1862" t="s">
        <v>1371</v>
      </c>
      <c r="E136" s="1862"/>
      <c r="F136" s="1862"/>
      <c r="G136" s="149"/>
    </row>
    <row r="137" spans="1:7" s="716" customFormat="1" ht="13.75" customHeight="1">
      <c r="A137" s="704"/>
      <c r="B137" s="704"/>
      <c r="C137" s="10"/>
      <c r="D137" s="1862"/>
      <c r="E137" s="1862"/>
      <c r="F137" s="1862"/>
      <c r="G137" s="149"/>
    </row>
    <row r="138" spans="1:7" s="716" customFormat="1" ht="13.75" customHeight="1">
      <c r="A138" s="704"/>
      <c r="B138" s="704"/>
      <c r="C138" s="10"/>
      <c r="D138" s="1862"/>
      <c r="E138" s="1862"/>
      <c r="F138" s="1862"/>
      <c r="G138" s="149"/>
    </row>
    <row r="139" spans="1:7" s="716" customFormat="1" ht="13.75" customHeight="1">
      <c r="A139" s="704"/>
      <c r="B139" s="704"/>
      <c r="C139" s="10"/>
      <c r="D139" s="1862"/>
      <c r="E139" s="1862"/>
      <c r="F139" s="1862"/>
      <c r="G139" s="149"/>
    </row>
    <row r="140" spans="1:7" s="716" customFormat="1" ht="13.75" customHeight="1">
      <c r="A140" s="704"/>
      <c r="B140" s="704"/>
      <c r="C140" s="10"/>
      <c r="D140" s="1862"/>
      <c r="E140" s="1862"/>
      <c r="F140" s="1862"/>
      <c r="G140" s="149"/>
    </row>
    <row r="141" spans="1:7" s="716" customFormat="1" ht="13.75" customHeight="1">
      <c r="A141" s="704"/>
      <c r="B141" s="704"/>
      <c r="C141" s="10"/>
      <c r="D141" s="1862"/>
      <c r="E141" s="1862"/>
      <c r="F141" s="1862"/>
      <c r="G141" s="149"/>
    </row>
    <row r="142" spans="1:7" s="716" customFormat="1" ht="13.75" customHeight="1">
      <c r="A142" s="704"/>
      <c r="B142" s="704"/>
      <c r="C142" s="10"/>
      <c r="D142" s="1862"/>
      <c r="E142" s="1862"/>
      <c r="F142" s="1862"/>
      <c r="G142" s="149"/>
    </row>
    <row r="143" spans="1:7" s="716" customFormat="1" ht="13.75" customHeight="1">
      <c r="A143" s="704"/>
      <c r="B143" s="704"/>
      <c r="C143" s="10"/>
      <c r="D143" s="1862"/>
      <c r="E143" s="1862"/>
      <c r="F143" s="1862"/>
      <c r="G143" s="149"/>
    </row>
    <row r="144" spans="1:7" s="716" customFormat="1" ht="13.75" customHeight="1">
      <c r="A144" s="704"/>
      <c r="B144" s="704"/>
      <c r="C144" s="10"/>
      <c r="D144" s="1862"/>
      <c r="E144" s="1862"/>
      <c r="F144" s="1862"/>
      <c r="G144" s="149"/>
    </row>
    <row r="145" spans="1:7" s="716" customFormat="1" ht="13.75" customHeight="1">
      <c r="A145" s="704"/>
      <c r="B145" s="704"/>
      <c r="C145" s="10"/>
      <c r="D145" s="1862"/>
      <c r="E145" s="1862"/>
      <c r="F145" s="1862"/>
      <c r="G145" s="149"/>
    </row>
    <row r="146" spans="1:7" s="716" customFormat="1" ht="13.75" customHeight="1">
      <c r="A146" s="746"/>
      <c r="B146" s="746"/>
      <c r="C146" s="10"/>
      <c r="D146" s="1862"/>
      <c r="E146" s="1862"/>
      <c r="F146" s="1862"/>
      <c r="G146" s="149"/>
    </row>
    <row r="147" spans="1:7" s="716" customFormat="1" ht="13.75" customHeight="1">
      <c r="A147" s="746"/>
      <c r="B147" s="746"/>
      <c r="C147" s="10"/>
      <c r="D147" s="1862"/>
      <c r="E147" s="1862"/>
      <c r="F147" s="1862"/>
      <c r="G147" s="149"/>
    </row>
    <row r="148" spans="1:7" s="716" customFormat="1" ht="13.75" customHeight="1">
      <c r="A148" s="704"/>
      <c r="B148" s="704"/>
      <c r="C148" s="10"/>
      <c r="D148" s="1862"/>
      <c r="E148" s="1862"/>
      <c r="F148" s="1862"/>
      <c r="G148" s="149"/>
    </row>
    <row r="149" spans="1:7" s="716" customFormat="1" ht="13.75" customHeight="1">
      <c r="A149" s="704"/>
      <c r="B149" s="704"/>
      <c r="C149" s="10"/>
      <c r="D149" s="1862"/>
      <c r="E149" s="1862"/>
      <c r="F149" s="1862"/>
      <c r="G149" s="149"/>
    </row>
    <row r="150" spans="1:7" s="716" customFormat="1" ht="13.75" customHeight="1">
      <c r="A150" s="704"/>
      <c r="B150" s="704"/>
      <c r="C150" s="10"/>
      <c r="D150" s="1862"/>
      <c r="E150" s="1862"/>
      <c r="F150" s="1862"/>
      <c r="G150" s="149"/>
    </row>
    <row r="151" spans="1:7" s="716" customFormat="1" ht="13.75" customHeight="1">
      <c r="A151" s="704"/>
      <c r="B151" s="704"/>
      <c r="C151" s="10"/>
      <c r="D151" s="1862"/>
      <c r="E151" s="1862"/>
      <c r="F151" s="1862"/>
      <c r="G151" s="149"/>
    </row>
    <row r="152" spans="1:7" s="716" customFormat="1" ht="13.75" customHeight="1">
      <c r="A152" s="704"/>
      <c r="B152" s="704"/>
      <c r="C152" s="10"/>
      <c r="D152" s="1862"/>
      <c r="E152" s="1862"/>
      <c r="F152" s="1862"/>
      <c r="G152" s="149"/>
    </row>
    <row r="153" spans="1:7" s="716" customFormat="1" ht="13.75" customHeight="1">
      <c r="A153" s="704"/>
      <c r="B153" s="704"/>
      <c r="C153" s="10"/>
      <c r="D153" s="1862"/>
      <c r="E153" s="1862"/>
      <c r="F153" s="1862"/>
      <c r="G153" s="149"/>
    </row>
    <row r="154" spans="1:7" s="716" customFormat="1" ht="13.75" customHeight="1">
      <c r="A154" s="704"/>
      <c r="B154" s="704"/>
      <c r="C154" s="10"/>
      <c r="D154" s="1862"/>
      <c r="E154" s="1862"/>
      <c r="F154" s="1862"/>
      <c r="G154" s="149"/>
    </row>
    <row r="155" spans="1:7" s="716" customFormat="1" ht="13.75" customHeight="1">
      <c r="A155" s="704"/>
      <c r="B155" s="704"/>
      <c r="C155" s="10"/>
      <c r="D155" s="327"/>
      <c r="E155" s="151"/>
      <c r="F155" s="151"/>
      <c r="G155" s="149"/>
    </row>
    <row r="156" spans="1:7" customFormat="1" ht="13.75" customHeight="1">
      <c r="A156" s="378"/>
      <c r="B156" s="678" t="s">
        <v>315</v>
      </c>
      <c r="C156" s="325"/>
      <c r="D156" s="1922" t="s">
        <v>1264</v>
      </c>
      <c r="E156" s="1922"/>
      <c r="F156" s="1922"/>
      <c r="G156" s="443"/>
    </row>
    <row r="157" spans="1:7" customFormat="1" ht="13.75" customHeight="1">
      <c r="A157" s="378"/>
      <c r="B157" s="378"/>
      <c r="C157" s="325"/>
      <c r="D157" s="1922"/>
      <c r="E157" s="1922"/>
      <c r="F157" s="1922"/>
      <c r="G157" s="443"/>
    </row>
    <row r="158" spans="1:7" customFormat="1" ht="13.75" customHeight="1">
      <c r="A158" s="378"/>
      <c r="B158" s="378"/>
      <c r="C158" s="325"/>
      <c r="D158" s="327"/>
      <c r="E158" s="325"/>
      <c r="F158" s="325"/>
      <c r="G158" s="443"/>
    </row>
    <row r="159" spans="1:7" customFormat="1" ht="13.75" customHeight="1">
      <c r="A159" s="378"/>
      <c r="B159" s="678" t="s">
        <v>315</v>
      </c>
      <c r="C159" s="325"/>
      <c r="D159" s="1865" t="s">
        <v>1265</v>
      </c>
      <c r="E159" s="1865"/>
      <c r="F159" s="1865"/>
      <c r="G159" s="443"/>
    </row>
    <row r="160" spans="1:7" customFormat="1" ht="13.75" customHeight="1">
      <c r="A160" s="378"/>
      <c r="B160" s="378"/>
      <c r="C160" s="325"/>
      <c r="D160" s="1865"/>
      <c r="E160" s="1865"/>
      <c r="F160" s="1865"/>
      <c r="G160" s="443"/>
    </row>
    <row r="161" spans="1:7" customFormat="1" ht="13.75" customHeight="1">
      <c r="A161" s="378"/>
      <c r="B161" s="378"/>
      <c r="C161" s="325"/>
      <c r="D161" s="1865"/>
      <c r="E161" s="1865"/>
      <c r="F161" s="1865"/>
      <c r="G161" s="443"/>
    </row>
    <row r="162" spans="1:7" customFormat="1" ht="13.75" customHeight="1">
      <c r="A162" s="378"/>
      <c r="B162" s="378"/>
      <c r="C162" s="325"/>
      <c r="D162" s="1865"/>
      <c r="E162" s="1865"/>
      <c r="F162" s="1865"/>
      <c r="G162" s="443"/>
    </row>
    <row r="163" spans="1:7" customFormat="1" ht="13.75" customHeight="1">
      <c r="A163" s="132"/>
      <c r="B163" s="675"/>
      <c r="C163" s="10"/>
      <c r="D163" s="151"/>
      <c r="E163" s="151"/>
      <c r="F163" s="151"/>
      <c r="G163" s="149"/>
    </row>
    <row r="164" spans="1:7" customFormat="1" ht="13.75" customHeight="1">
      <c r="A164" s="132"/>
      <c r="B164" s="678" t="s">
        <v>315</v>
      </c>
      <c r="C164" s="10"/>
      <c r="D164" s="1910" t="s">
        <v>1266</v>
      </c>
      <c r="E164" s="1910"/>
      <c r="F164" s="1910"/>
      <c r="G164" s="149"/>
    </row>
    <row r="165" spans="1:7" customFormat="1" ht="13.75" customHeight="1">
      <c r="A165" s="132"/>
      <c r="B165" s="675"/>
      <c r="C165" s="10"/>
      <c r="D165" s="1910"/>
      <c r="E165" s="1910"/>
      <c r="F165" s="1910"/>
      <c r="G165" s="149"/>
    </row>
    <row r="166" spans="1:7" customFormat="1" ht="13.75" customHeight="1">
      <c r="A166" s="132"/>
      <c r="B166" s="675"/>
      <c r="C166" s="10"/>
      <c r="D166" s="1910"/>
      <c r="E166" s="1910"/>
      <c r="F166" s="1910"/>
      <c r="G166" s="149"/>
    </row>
    <row r="167" spans="1:7" customFormat="1" ht="13.75" customHeight="1">
      <c r="A167" s="23"/>
      <c r="B167" s="674"/>
      <c r="C167" s="10"/>
      <c r="D167" s="7"/>
      <c r="E167" s="151"/>
      <c r="F167" s="151"/>
      <c r="G167" s="149"/>
    </row>
    <row r="168" spans="1:7" ht="13">
      <c r="A168" s="1888" t="s">
        <v>1160</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2"/>
      <c r="C171" s="255"/>
    </row>
    <row r="172" spans="1:7" ht="13">
      <c r="A172" s="1888" t="s">
        <v>1161</v>
      </c>
      <c r="B172" s="1888"/>
      <c r="C172" s="1888"/>
      <c r="D172" s="1888"/>
      <c r="E172" s="1888"/>
      <c r="F172" s="1888"/>
      <c r="G172" s="1888"/>
    </row>
    <row r="173" spans="1:7" ht="12" customHeight="1">
      <c r="A173" s="264"/>
      <c r="B173" s="264"/>
      <c r="C173" s="265"/>
      <c r="D173" s="57"/>
      <c r="E173" s="49"/>
      <c r="F173" s="57"/>
      <c r="G173" s="57"/>
    </row>
    <row r="174" spans="1:7" ht="13.25" customHeight="1">
      <c r="A174" s="264"/>
      <c r="B174" s="264"/>
      <c r="C174" s="265"/>
      <c r="D174" s="1924" t="s">
        <v>1269</v>
      </c>
      <c r="E174" s="1924"/>
      <c r="F174" s="1924"/>
      <c r="G174" s="57"/>
    </row>
    <row r="175" spans="1:7" ht="13">
      <c r="A175" s="264"/>
      <c r="B175" s="264"/>
      <c r="C175" s="265"/>
      <c r="D175" s="1924"/>
      <c r="E175" s="1924"/>
      <c r="F175" s="1924"/>
      <c r="G175" s="57"/>
    </row>
    <row r="176" spans="1:7" s="718" customFormat="1" ht="13">
      <c r="A176" s="720"/>
      <c r="B176" s="720"/>
      <c r="C176" s="265"/>
      <c r="D176" s="1925" t="s">
        <v>1270</v>
      </c>
      <c r="E176" s="1925"/>
      <c r="F176" s="1925"/>
      <c r="G176" s="57"/>
    </row>
    <row r="177" spans="1:7" ht="12" customHeight="1">
      <c r="A177" s="264"/>
      <c r="B177" s="264"/>
      <c r="C177" s="265"/>
      <c r="D177" s="57"/>
      <c r="E177" s="49"/>
      <c r="F177" s="57"/>
      <c r="G177" s="57"/>
    </row>
    <row r="178" spans="1:7" ht="13">
      <c r="A178" s="261"/>
      <c r="B178" s="678" t="s">
        <v>315</v>
      </c>
      <c r="C178" s="265"/>
      <c r="D178" s="1923" t="s">
        <v>1268</v>
      </c>
      <c r="E178" s="1923"/>
      <c r="F178" s="1923"/>
      <c r="G178" s="57"/>
    </row>
    <row r="179" spans="1:7" ht="13">
      <c r="A179" s="261"/>
      <c r="B179" s="261"/>
      <c r="C179" s="265"/>
      <c r="D179" s="1923"/>
      <c r="E179" s="1923"/>
      <c r="F179" s="1923"/>
      <c r="G179" s="57"/>
    </row>
    <row r="180" spans="1:7" ht="13">
      <c r="A180" s="261"/>
      <c r="B180" s="261"/>
      <c r="C180" s="265"/>
      <c r="D180" s="1923"/>
      <c r="E180" s="1923"/>
      <c r="F180" s="1923"/>
      <c r="G180" s="57"/>
    </row>
    <row r="181" spans="1:7">
      <c r="A181" s="265"/>
      <c r="B181" s="265"/>
      <c r="C181" s="265"/>
      <c r="D181" s="1923"/>
      <c r="E181" s="1923"/>
      <c r="F181" s="1923"/>
    </row>
    <row r="182" spans="1:7">
      <c r="A182" s="265"/>
      <c r="B182" s="265"/>
      <c r="C182" s="265"/>
      <c r="D182" s="403"/>
      <c r="E182" s="57"/>
      <c r="F182" s="57"/>
    </row>
    <row r="183" spans="1:7">
      <c r="A183" s="265"/>
      <c r="B183" s="265"/>
      <c r="C183" s="265"/>
      <c r="D183" s="1927" t="s">
        <v>1177</v>
      </c>
      <c r="E183" s="1927"/>
      <c r="F183" s="1927"/>
    </row>
    <row r="184" spans="1:7">
      <c r="A184" s="265"/>
      <c r="B184" s="265"/>
      <c r="C184" s="265"/>
      <c r="D184" s="1927"/>
      <c r="E184" s="1927"/>
      <c r="F184" s="1927"/>
    </row>
    <row r="185" spans="1:7" s="681" customFormat="1">
      <c r="A185" s="265"/>
      <c r="B185" s="265"/>
      <c r="C185" s="265"/>
      <c r="D185" s="695"/>
      <c r="E185" s="695"/>
      <c r="F185" s="695"/>
      <c r="G185" s="7"/>
    </row>
    <row r="186" spans="1:7" s="676" customFormat="1" ht="13">
      <c r="A186" s="261"/>
      <c r="B186" s="678" t="s">
        <v>315</v>
      </c>
      <c r="C186" s="556"/>
      <c r="D186" s="1862" t="s">
        <v>1267</v>
      </c>
      <c r="E186" s="1862"/>
      <c r="F186" s="1862"/>
      <c r="G186" s="677"/>
    </row>
    <row r="187" spans="1:7" s="676" customFormat="1" ht="14.5" customHeight="1">
      <c r="A187" s="261"/>
      <c r="C187" s="556"/>
      <c r="D187" s="1862"/>
      <c r="E187" s="1862"/>
      <c r="F187" s="1862"/>
      <c r="G187" s="677"/>
    </row>
    <row r="188" spans="1:7" s="676" customFormat="1" ht="13">
      <c r="A188" s="261"/>
      <c r="B188" s="696"/>
      <c r="C188" s="556"/>
      <c r="D188" s="1862"/>
      <c r="E188" s="1862"/>
      <c r="F188" s="1862"/>
      <c r="G188" s="677"/>
    </row>
    <row r="189" spans="1:7" s="676" customFormat="1" ht="13">
      <c r="A189" s="261"/>
      <c r="B189" s="696"/>
      <c r="C189" s="556"/>
      <c r="D189" s="1862"/>
      <c r="E189" s="1862"/>
      <c r="F189" s="1862"/>
      <c r="G189" s="677"/>
    </row>
    <row r="190" spans="1:7" s="681" customFormat="1">
      <c r="A190" s="265"/>
      <c r="B190" s="265"/>
      <c r="C190" s="265"/>
      <c r="D190" s="695"/>
      <c r="E190" s="695"/>
      <c r="F190" s="695"/>
      <c r="G190" s="7"/>
    </row>
    <row r="191" spans="1:7" ht="13">
      <c r="A191" s="1888" t="s">
        <v>1162</v>
      </c>
      <c r="B191" s="1888"/>
      <c r="C191" s="1888"/>
      <c r="D191" s="1888"/>
      <c r="E191" s="1888"/>
      <c r="F191" s="1888"/>
      <c r="G191" s="1888"/>
    </row>
    <row r="192" spans="1:7" ht="12" customHeight="1">
      <c r="D192" s="135"/>
      <c r="E192" s="135"/>
      <c r="F192" s="135"/>
    </row>
    <row r="193" spans="1:6" ht="13">
      <c r="C193" s="262"/>
      <c r="D193" s="1926" t="s">
        <v>213</v>
      </c>
      <c r="E193" s="1926"/>
      <c r="F193" s="1926"/>
    </row>
    <row r="194" spans="1:6" ht="13">
      <c r="A194" s="255"/>
      <c r="B194" s="672"/>
      <c r="C194" s="255"/>
      <c r="D194" s="1894" t="s">
        <v>1291</v>
      </c>
      <c r="E194" s="1895"/>
      <c r="F194" s="1895"/>
    </row>
    <row r="195" spans="1:6" ht="12" customHeight="1">
      <c r="A195" s="23"/>
      <c r="B195" s="674"/>
      <c r="C195" s="23"/>
    </row>
    <row r="196" spans="1:6" ht="13.25" customHeight="1">
      <c r="A196" s="23"/>
      <c r="C196" s="23"/>
      <c r="D196" s="1886" t="s">
        <v>578</v>
      </c>
      <c r="E196" s="1886"/>
      <c r="F196" s="1886"/>
    </row>
    <row r="197" spans="1:6" ht="13">
      <c r="A197" s="261"/>
      <c r="B197" s="678" t="s">
        <v>315</v>
      </c>
      <c r="D197" s="1862" t="s">
        <v>1285</v>
      </c>
      <c r="E197" s="1862"/>
      <c r="F197" s="1862"/>
    </row>
    <row r="198" spans="1:6" ht="13">
      <c r="A198" s="261"/>
      <c r="B198" s="261"/>
      <c r="D198" s="1862"/>
      <c r="E198" s="1862"/>
      <c r="F198" s="1862"/>
    </row>
    <row r="199" spans="1:6"/>
    <row r="200" spans="1:6" ht="13">
      <c r="A200" s="261"/>
      <c r="B200" s="678" t="s">
        <v>315</v>
      </c>
      <c r="D200" s="1862" t="s">
        <v>1286</v>
      </c>
      <c r="E200" s="1862"/>
      <c r="F200" s="1862"/>
    </row>
    <row r="201" spans="1:6" ht="13">
      <c r="A201" s="261"/>
      <c r="B201" s="261"/>
      <c r="D201" s="1862"/>
      <c r="E201" s="1862"/>
      <c r="F201" s="1862"/>
    </row>
    <row r="202" spans="1:6" ht="13">
      <c r="A202" s="261"/>
      <c r="B202" s="261"/>
      <c r="D202" s="1862"/>
      <c r="E202" s="1862"/>
      <c r="F202" s="1862"/>
    </row>
    <row r="203" spans="1:6" ht="5.25" customHeight="1">
      <c r="A203" s="261"/>
      <c r="B203" s="261"/>
      <c r="D203" s="151"/>
      <c r="E203" s="135"/>
      <c r="F203" s="135"/>
    </row>
    <row r="204" spans="1:6" ht="13">
      <c r="A204" s="261"/>
      <c r="B204" s="261"/>
      <c r="D204" s="1862" t="s">
        <v>1287</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8" t="s">
        <v>315</v>
      </c>
      <c r="D210" s="1883" t="s">
        <v>1288</v>
      </c>
      <c r="E210" s="1883"/>
      <c r="F210" s="1883"/>
    </row>
    <row r="211" spans="1:7" ht="13">
      <c r="A211" s="261"/>
      <c r="B211" s="261"/>
      <c r="D211" s="1883"/>
      <c r="E211" s="1883"/>
      <c r="F211" s="1883"/>
    </row>
    <row r="212" spans="1:7" ht="13">
      <c r="A212" s="261"/>
      <c r="B212" s="261"/>
      <c r="D212" s="1884" t="s">
        <v>962</v>
      </c>
      <c r="E212" s="1884"/>
      <c r="F212" s="1884"/>
    </row>
    <row r="213" spans="1:7" ht="13">
      <c r="A213" s="261"/>
      <c r="B213" s="261"/>
      <c r="D213" s="135"/>
      <c r="E213" s="135"/>
      <c r="F213" s="135"/>
    </row>
    <row r="214" spans="1:7" ht="14.5" customHeight="1">
      <c r="A214" s="261"/>
      <c r="B214" s="678" t="s">
        <v>315</v>
      </c>
      <c r="D214" s="1883" t="s">
        <v>1290</v>
      </c>
      <c r="E214" s="1883"/>
      <c r="F214" s="1883"/>
    </row>
    <row r="215" spans="1:7" ht="13">
      <c r="A215" s="261"/>
      <c r="B215" s="261"/>
      <c r="D215" s="1883"/>
      <c r="E215" s="1883"/>
      <c r="F215" s="1883"/>
    </row>
    <row r="216" spans="1:7" ht="13">
      <c r="A216" s="261"/>
      <c r="B216" s="261"/>
      <c r="D216" s="1883"/>
      <c r="E216" s="1883"/>
      <c r="F216" s="1883"/>
    </row>
    <row r="217" spans="1:7" ht="13">
      <c r="A217" s="261"/>
      <c r="B217" s="261"/>
      <c r="D217" s="1883"/>
      <c r="E217" s="1883"/>
      <c r="F217" s="1883"/>
    </row>
    <row r="218" spans="1:7" ht="13">
      <c r="A218" s="261"/>
      <c r="B218" s="261"/>
      <c r="D218" s="1883"/>
      <c r="E218" s="1883"/>
      <c r="F218" s="1883"/>
    </row>
    <row r="219" spans="1:7">
      <c r="D219" s="135"/>
      <c r="E219" s="135"/>
      <c r="F219" s="135"/>
    </row>
    <row r="220" spans="1:7" ht="13">
      <c r="A220" s="261"/>
      <c r="B220" s="678" t="s">
        <v>315</v>
      </c>
      <c r="D220" s="1862" t="s">
        <v>1289</v>
      </c>
      <c r="E220" s="1862"/>
      <c r="F220" s="1862"/>
    </row>
    <row r="221" spans="1:7" ht="13">
      <c r="A221" s="261"/>
      <c r="B221" s="261"/>
      <c r="D221" s="1862"/>
      <c r="E221" s="1862"/>
      <c r="F221" s="1862"/>
    </row>
    <row r="222" spans="1:7">
      <c r="D222" s="29"/>
    </row>
    <row r="223" spans="1:7" ht="13">
      <c r="A223" s="1888" t="s">
        <v>1163</v>
      </c>
      <c r="B223" s="1888"/>
      <c r="C223" s="1888"/>
      <c r="D223" s="1888"/>
      <c r="E223" s="1888"/>
      <c r="F223" s="1888"/>
      <c r="G223" s="1888"/>
    </row>
    <row r="224" spans="1:7">
      <c r="D224" s="29"/>
    </row>
    <row r="225" spans="1:6" ht="13">
      <c r="C225" s="262"/>
      <c r="D225" s="1886" t="s">
        <v>1292</v>
      </c>
      <c r="E225" s="1886"/>
      <c r="F225" s="1886"/>
    </row>
    <row r="226" spans="1:6" ht="13">
      <c r="A226" s="255"/>
      <c r="B226" s="672"/>
      <c r="C226" s="255"/>
      <c r="D226" s="135"/>
      <c r="E226" s="135"/>
      <c r="F226" s="135"/>
    </row>
    <row r="227" spans="1:6" ht="13">
      <c r="A227" s="260"/>
      <c r="B227" s="260"/>
      <c r="C227" s="260"/>
      <c r="D227" s="1886" t="s">
        <v>274</v>
      </c>
      <c r="E227" s="1886"/>
      <c r="F227" s="1886"/>
    </row>
    <row r="228" spans="1:6" ht="13">
      <c r="A228" s="261"/>
      <c r="B228" s="678" t="s">
        <v>315</v>
      </c>
      <c r="D228" s="1936" t="s">
        <v>1293</v>
      </c>
      <c r="E228" s="1936"/>
      <c r="F228" s="1936"/>
    </row>
    <row r="229" spans="1:6" ht="13">
      <c r="A229" s="261"/>
      <c r="B229" s="261"/>
      <c r="D229" s="1936"/>
      <c r="E229" s="1936"/>
      <c r="F229" s="1936"/>
    </row>
    <row r="230" spans="1:6">
      <c r="D230" s="135"/>
      <c r="E230" s="135"/>
      <c r="F230" s="135"/>
    </row>
    <row r="231" spans="1:6" ht="14.5" customHeight="1">
      <c r="A231" s="261"/>
      <c r="B231" s="678" t="s">
        <v>315</v>
      </c>
      <c r="D231" s="1883" t="s">
        <v>1294</v>
      </c>
      <c r="E231" s="1883"/>
      <c r="F231" s="1883"/>
    </row>
    <row r="232" spans="1:6">
      <c r="D232" s="1883"/>
      <c r="E232" s="1883"/>
      <c r="F232" s="1883"/>
    </row>
    <row r="233" spans="1:6" ht="13">
      <c r="D233" s="1895" t="s">
        <v>953</v>
      </c>
      <c r="E233" s="1895"/>
      <c r="F233" s="1895"/>
    </row>
    <row r="234" spans="1:6">
      <c r="D234" s="135"/>
      <c r="E234" s="135"/>
      <c r="F234" s="135"/>
    </row>
    <row r="235" spans="1:6" ht="14.5" customHeight="1">
      <c r="A235" s="261"/>
      <c r="B235" s="678" t="s">
        <v>315</v>
      </c>
      <c r="D235" s="1883" t="s">
        <v>1296</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3">
      <c r="A241" s="261"/>
      <c r="B241" s="678" t="s">
        <v>315</v>
      </c>
      <c r="D241" s="1862" t="s">
        <v>1295</v>
      </c>
      <c r="E241" s="1862"/>
      <c r="F241" s="1862"/>
    </row>
    <row r="242" spans="1:7">
      <c r="D242" s="1862"/>
      <c r="E242" s="1862"/>
      <c r="F242" s="1862"/>
    </row>
    <row r="243" spans="1:7">
      <c r="D243" s="1862"/>
      <c r="E243" s="1862"/>
      <c r="F243" s="1862"/>
    </row>
    <row r="244" spans="1:7">
      <c r="D244" s="263"/>
      <c r="E244" s="135"/>
      <c r="F244" s="135"/>
    </row>
    <row r="245" spans="1:7" ht="13">
      <c r="A245" s="1888" t="s">
        <v>1164</v>
      </c>
      <c r="B245" s="1888"/>
      <c r="C245" s="1888"/>
      <c r="D245" s="1888"/>
      <c r="E245" s="1888"/>
      <c r="F245" s="1888"/>
      <c r="G245" s="1888"/>
    </row>
    <row r="246" spans="1:7">
      <c r="D246" s="263"/>
      <c r="E246" s="135"/>
      <c r="F246" s="135"/>
    </row>
    <row r="247" spans="1:7" ht="13">
      <c r="C247" s="255"/>
      <c r="D247" s="1904" t="s">
        <v>1297</v>
      </c>
      <c r="E247" s="1904"/>
      <c r="F247" s="1904"/>
    </row>
    <row r="248" spans="1:7" ht="13">
      <c r="C248" s="255"/>
      <c r="D248" s="1904"/>
      <c r="E248" s="1904"/>
      <c r="F248" s="1904"/>
    </row>
    <row r="249" spans="1:7" ht="13">
      <c r="A249" s="260"/>
      <c r="B249" s="260"/>
      <c r="C249" s="260"/>
      <c r="D249" s="5"/>
      <c r="E249" s="6"/>
      <c r="F249" s="6"/>
    </row>
    <row r="250" spans="1:7" ht="13">
      <c r="C250" s="260"/>
      <c r="D250" s="1886" t="s">
        <v>214</v>
      </c>
      <c r="E250" s="1886"/>
      <c r="F250" s="1886"/>
    </row>
    <row r="251" spans="1:7" ht="15.75" customHeight="1">
      <c r="A251" s="261"/>
      <c r="B251" s="261"/>
      <c r="D251" s="1892" t="s">
        <v>1298</v>
      </c>
      <c r="E251" s="1892"/>
      <c r="F251" s="1892"/>
    </row>
    <row r="252" spans="1:7">
      <c r="E252" s="135"/>
      <c r="F252" s="135"/>
    </row>
    <row r="253" spans="1:7" ht="13">
      <c r="A253" s="261"/>
      <c r="B253" s="678" t="s">
        <v>315</v>
      </c>
      <c r="D253" s="1862" t="s">
        <v>1299</v>
      </c>
      <c r="E253" s="1862"/>
      <c r="F253" s="1862"/>
    </row>
    <row r="254" spans="1:7" ht="13">
      <c r="A254" s="261"/>
      <c r="B254" s="261"/>
      <c r="D254" s="1862"/>
      <c r="E254" s="1862"/>
      <c r="F254" s="1862"/>
    </row>
    <row r="255" spans="1:7">
      <c r="D255" s="135"/>
      <c r="E255" s="135"/>
      <c r="F255" s="135"/>
    </row>
    <row r="256" spans="1:7" ht="13">
      <c r="A256" s="261"/>
      <c r="B256" s="678" t="s">
        <v>315</v>
      </c>
      <c r="D256" s="1883" t="s">
        <v>1300</v>
      </c>
      <c r="E256" s="1883"/>
      <c r="F256" s="1883"/>
    </row>
    <row r="257" spans="1:7" ht="13">
      <c r="A257" s="261"/>
      <c r="B257" s="261"/>
      <c r="D257" s="1883"/>
      <c r="E257" s="1883"/>
      <c r="F257" s="1883"/>
    </row>
    <row r="258" spans="1:7" ht="13">
      <c r="A258" s="261"/>
      <c r="B258" s="261"/>
      <c r="D258" s="1883"/>
      <c r="E258" s="1883"/>
      <c r="F258" s="1883"/>
    </row>
    <row r="259" spans="1:7">
      <c r="D259" s="135"/>
      <c r="E259" s="135"/>
      <c r="F259" s="135"/>
    </row>
    <row r="260" spans="1:7" ht="13">
      <c r="A260" s="261"/>
      <c r="B260" s="678" t="s">
        <v>315</v>
      </c>
      <c r="D260" s="1862" t="s">
        <v>1301</v>
      </c>
      <c r="E260" s="1862"/>
      <c r="F260" s="1862"/>
    </row>
    <row r="261" spans="1:7" ht="13">
      <c r="A261" s="261"/>
      <c r="B261" s="261"/>
      <c r="D261" s="1862"/>
      <c r="E261" s="1862"/>
      <c r="F261" s="1862"/>
    </row>
    <row r="262" spans="1:7" ht="13">
      <c r="A262" s="23"/>
      <c r="B262" s="674"/>
      <c r="E262" s="135"/>
      <c r="F262" s="135"/>
    </row>
    <row r="263" spans="1:7" ht="13">
      <c r="A263" s="1888" t="s">
        <v>1165</v>
      </c>
      <c r="B263" s="1888"/>
      <c r="C263" s="1888"/>
      <c r="D263" s="1888"/>
      <c r="E263" s="1888"/>
      <c r="F263" s="1888"/>
      <c r="G263" s="1888"/>
    </row>
    <row r="264" spans="1:7" ht="13">
      <c r="A264" s="23"/>
      <c r="B264" s="674"/>
      <c r="D264" s="135"/>
      <c r="E264" s="135"/>
      <c r="F264" s="135"/>
    </row>
    <row r="265" spans="1:7" ht="13">
      <c r="C265" s="23"/>
      <c r="D265" s="1886" t="s">
        <v>718</v>
      </c>
      <c r="E265" s="1886"/>
      <c r="F265" s="1886"/>
    </row>
    <row r="266" spans="1:7" ht="13">
      <c r="C266" s="23"/>
      <c r="D266" s="1887" t="s">
        <v>1302</v>
      </c>
      <c r="E266" s="1887"/>
      <c r="F266" s="1887"/>
    </row>
    <row r="267" spans="1:7" ht="13">
      <c r="C267" s="23"/>
      <c r="D267" s="259"/>
    </row>
    <row r="268" spans="1:7">
      <c r="A268" s="273"/>
      <c r="B268" s="678" t="s">
        <v>315</v>
      </c>
      <c r="D268" s="1887" t="s">
        <v>1303</v>
      </c>
      <c r="E268" s="1887"/>
      <c r="F268" s="1887"/>
    </row>
    <row r="269" spans="1:7" s="39" customFormat="1" ht="13">
      <c r="A269" s="402"/>
      <c r="B269" s="402"/>
      <c r="C269" s="273"/>
      <c r="D269" s="496"/>
      <c r="E269" s="497"/>
      <c r="F269" s="497"/>
      <c r="G269" s="130"/>
    </row>
    <row r="270" spans="1:7" s="39" customFormat="1" ht="13.25" customHeight="1">
      <c r="A270" s="273"/>
      <c r="B270" s="678" t="s">
        <v>315</v>
      </c>
      <c r="C270" s="273"/>
      <c r="D270" s="1937" t="s">
        <v>1304</v>
      </c>
      <c r="E270" s="1937"/>
      <c r="F270" s="1937"/>
      <c r="G270" s="130"/>
    </row>
    <row r="271" spans="1:7" s="39" customFormat="1" ht="13">
      <c r="A271" s="402"/>
      <c r="B271" s="402"/>
      <c r="C271" s="273"/>
      <c r="D271" s="1937"/>
      <c r="E271" s="1937"/>
      <c r="F271" s="1937"/>
      <c r="G271" s="130"/>
    </row>
    <row r="272" spans="1:7" s="39" customFormat="1" ht="13">
      <c r="A272" s="402"/>
      <c r="B272" s="402"/>
      <c r="C272" s="273"/>
      <c r="D272" s="1937"/>
      <c r="E272" s="1937"/>
      <c r="F272" s="1937"/>
      <c r="G272" s="130"/>
    </row>
    <row r="273" spans="1:7" s="39" customFormat="1" ht="13">
      <c r="A273" s="402"/>
      <c r="B273" s="402"/>
      <c r="C273" s="273"/>
      <c r="D273" s="1937"/>
      <c r="E273" s="1937"/>
      <c r="F273" s="1937"/>
      <c r="G273" s="130"/>
    </row>
    <row r="274" spans="1:7" s="39" customFormat="1" ht="13">
      <c r="A274" s="402"/>
      <c r="B274" s="402"/>
      <c r="C274" s="273"/>
      <c r="D274" s="1937"/>
      <c r="E274" s="1937"/>
      <c r="F274" s="1937"/>
      <c r="G274" s="130"/>
    </row>
    <row r="275" spans="1:7" s="39" customFormat="1" ht="13">
      <c r="A275" s="402"/>
      <c r="B275" s="402"/>
      <c r="C275" s="273"/>
      <c r="D275" s="496"/>
      <c r="E275" s="497"/>
      <c r="F275" s="497"/>
      <c r="G275" s="130"/>
    </row>
    <row r="276" spans="1:7" s="39" customFormat="1" ht="13.25" customHeight="1">
      <c r="A276" s="273"/>
      <c r="B276" s="678" t="s">
        <v>315</v>
      </c>
      <c r="C276" s="273"/>
      <c r="D276" s="1937" t="s">
        <v>1305</v>
      </c>
      <c r="E276" s="1937"/>
      <c r="F276" s="1937"/>
      <c r="G276" s="130"/>
    </row>
    <row r="277" spans="1:7" s="39" customFormat="1">
      <c r="A277" s="273"/>
      <c r="B277" s="273"/>
      <c r="C277" s="273"/>
      <c r="D277" s="1937"/>
      <c r="E277" s="1937"/>
      <c r="F277" s="1937"/>
      <c r="G277" s="130"/>
    </row>
    <row r="278" spans="1:7" s="39" customFormat="1" ht="13">
      <c r="A278" s="402"/>
      <c r="B278" s="402"/>
      <c r="C278" s="273"/>
      <c r="D278" s="496"/>
      <c r="E278" s="497"/>
      <c r="F278" s="497"/>
      <c r="G278" s="130"/>
    </row>
    <row r="279" spans="1:7">
      <c r="A279" s="273"/>
      <c r="B279" s="678" t="s">
        <v>315</v>
      </c>
      <c r="D279" s="1887" t="s">
        <v>1306</v>
      </c>
      <c r="E279" s="1887"/>
      <c r="F279" s="1887"/>
    </row>
    <row r="280" spans="1:7">
      <c r="E280" s="135"/>
      <c r="F280" s="135"/>
    </row>
    <row r="281" spans="1:7" ht="13">
      <c r="A281" s="261"/>
      <c r="B281" s="678" t="s">
        <v>315</v>
      </c>
      <c r="D281" s="1883" t="s">
        <v>1307</v>
      </c>
      <c r="E281" s="1883"/>
      <c r="F281" s="1883"/>
    </row>
    <row r="282" spans="1:7" ht="13">
      <c r="A282" s="261"/>
      <c r="B282" s="261"/>
      <c r="D282" s="1883"/>
      <c r="E282" s="1883"/>
      <c r="F282" s="1883"/>
    </row>
    <row r="283" spans="1:7" s="718" customFormat="1" ht="13">
      <c r="A283" s="713"/>
      <c r="B283" s="713"/>
      <c r="C283" s="730"/>
      <c r="D283" s="1883"/>
      <c r="E283" s="1883"/>
      <c r="F283" s="1883"/>
      <c r="G283" s="7"/>
    </row>
    <row r="284" spans="1:7" s="718" customFormat="1" ht="13">
      <c r="A284" s="713"/>
      <c r="B284" s="713"/>
      <c r="C284" s="730"/>
      <c r="D284" s="1883"/>
      <c r="E284" s="1883"/>
      <c r="F284" s="1883"/>
      <c r="G284" s="7"/>
    </row>
    <row r="285" spans="1:7" s="718" customFormat="1" ht="13">
      <c r="A285" s="713"/>
      <c r="B285" s="713"/>
      <c r="C285" s="730"/>
      <c r="D285" s="1883"/>
      <c r="E285" s="1883"/>
      <c r="F285" s="1883"/>
      <c r="G285" s="7"/>
    </row>
    <row r="286" spans="1:7" s="718" customFormat="1" ht="13">
      <c r="A286" s="713"/>
      <c r="B286" s="713"/>
      <c r="C286" s="730"/>
      <c r="D286" s="1883"/>
      <c r="E286" s="1883"/>
      <c r="F286" s="1883"/>
      <c r="G286" s="7"/>
    </row>
    <row r="287" spans="1:7" s="718" customFormat="1" ht="13">
      <c r="A287" s="713"/>
      <c r="B287" s="713"/>
      <c r="C287" s="730"/>
      <c r="D287" s="1883"/>
      <c r="E287" s="1883"/>
      <c r="F287" s="1883"/>
      <c r="G287" s="7"/>
    </row>
    <row r="288" spans="1:7" s="718" customFormat="1" ht="13">
      <c r="A288" s="713"/>
      <c r="B288" s="713"/>
      <c r="C288" s="730"/>
      <c r="D288" s="1883"/>
      <c r="E288" s="1883"/>
      <c r="F288" s="1883"/>
      <c r="G288" s="7"/>
    </row>
    <row r="289" spans="1:7" s="718" customFormat="1" ht="13">
      <c r="A289" s="713"/>
      <c r="B289" s="713"/>
      <c r="C289" s="730"/>
      <c r="D289" s="1883"/>
      <c r="E289" s="1883"/>
      <c r="F289" s="1883"/>
      <c r="G289" s="7"/>
    </row>
    <row r="290" spans="1:7" s="718" customFormat="1" ht="13">
      <c r="A290" s="713"/>
      <c r="B290" s="713"/>
      <c r="C290" s="730"/>
      <c r="D290" s="1883"/>
      <c r="E290" s="1883"/>
      <c r="F290" s="1883"/>
      <c r="G290" s="7"/>
    </row>
    <row r="291" spans="1:7" s="718" customFormat="1" ht="13">
      <c r="A291" s="713"/>
      <c r="B291" s="713"/>
      <c r="C291" s="730"/>
      <c r="D291" s="1883"/>
      <c r="E291" s="1883"/>
      <c r="F291" s="1883"/>
      <c r="G291" s="7"/>
    </row>
    <row r="292" spans="1:7" s="718" customFormat="1" ht="13">
      <c r="A292" s="713"/>
      <c r="B292" s="713"/>
      <c r="C292" s="730"/>
      <c r="D292" s="1883"/>
      <c r="E292" s="1883"/>
      <c r="F292" s="1883"/>
      <c r="G292" s="7"/>
    </row>
    <row r="293" spans="1:7" ht="13">
      <c r="A293" s="261"/>
      <c r="B293" s="261"/>
      <c r="D293" s="1883"/>
      <c r="E293" s="1883"/>
      <c r="F293" s="1883"/>
    </row>
    <row r="294" spans="1:7" ht="13">
      <c r="A294" s="261"/>
      <c r="B294" s="261"/>
      <c r="D294" s="1883"/>
      <c r="E294" s="1883"/>
      <c r="F294" s="1883"/>
    </row>
    <row r="295" spans="1:7" ht="13">
      <c r="A295" s="261"/>
      <c r="B295" s="261"/>
      <c r="D295" s="1883"/>
      <c r="E295" s="1883"/>
      <c r="F295" s="1883"/>
    </row>
    <row r="296" spans="1:7">
      <c r="D296" s="135"/>
      <c r="E296" s="135"/>
      <c r="F296" s="135"/>
    </row>
    <row r="297" spans="1:7" ht="13">
      <c r="A297" s="261"/>
      <c r="B297" s="678" t="s">
        <v>315</v>
      </c>
      <c r="D297" s="1883" t="s">
        <v>1308</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3">
      <c r="A307" s="261"/>
      <c r="B307" s="678" t="s">
        <v>315</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5" thickBot="1">
      <c r="D314" s="1933" t="s">
        <v>1058</v>
      </c>
      <c r="E314" s="1933"/>
      <c r="F314" s="1933"/>
      <c r="G314" s="12"/>
    </row>
    <row r="315" spans="1:7" s="718" customFormat="1" ht="13" thickTop="1">
      <c r="A315" s="730"/>
      <c r="B315" s="730"/>
      <c r="C315" s="730"/>
      <c r="D315" s="1934" t="s">
        <v>1310</v>
      </c>
      <c r="E315" s="1934"/>
      <c r="F315" s="1934"/>
    </row>
    <row r="316" spans="1:7">
      <c r="A316" s="325"/>
      <c r="B316" s="325"/>
      <c r="C316" s="325"/>
      <c r="D316" s="466"/>
      <c r="E316" s="466"/>
      <c r="F316" s="135"/>
      <c r="G316" s="12"/>
    </row>
    <row r="317" spans="1:7" ht="13">
      <c r="A317" s="261"/>
      <c r="B317" s="678" t="s">
        <v>315</v>
      </c>
      <c r="C317" s="325"/>
      <c r="D317" s="1935" t="s">
        <v>1311</v>
      </c>
      <c r="E317" s="1935"/>
      <c r="F317" s="1935"/>
      <c r="G317" s="12"/>
    </row>
    <row r="318" spans="1:7">
      <c r="A318" s="325"/>
      <c r="B318" s="325"/>
      <c r="C318" s="325"/>
      <c r="D318" s="466"/>
      <c r="E318" s="466"/>
      <c r="F318" s="135"/>
      <c r="G318" s="12"/>
    </row>
    <row r="319" spans="1:7">
      <c r="A319" s="325"/>
      <c r="B319" s="678" t="s">
        <v>315</v>
      </c>
      <c r="C319" s="325"/>
      <c r="D319" s="1919" t="s">
        <v>1312</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8" customFormat="1">
      <c r="A323" s="325"/>
      <c r="B323" s="325"/>
      <c r="C323" s="325"/>
      <c r="D323" s="1919"/>
      <c r="E323" s="1919"/>
      <c r="F323" s="1919"/>
    </row>
    <row r="324" spans="1:7" s="718" customFormat="1">
      <c r="A324" s="325"/>
      <c r="B324" s="325"/>
      <c r="C324" s="325"/>
      <c r="D324" s="1919"/>
      <c r="E324" s="1919"/>
      <c r="F324" s="1919"/>
    </row>
    <row r="325" spans="1:7" s="718" customFormat="1">
      <c r="A325" s="325"/>
      <c r="B325" s="325"/>
      <c r="C325" s="325"/>
      <c r="D325" s="1919"/>
      <c r="E325" s="1919"/>
      <c r="F325" s="1919"/>
    </row>
    <row r="326" spans="1:7" s="718"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6"/>
      <c r="F330" s="135"/>
      <c r="G330" s="12"/>
    </row>
    <row r="331" spans="1:7" ht="13">
      <c r="A331" s="261"/>
      <c r="B331" s="678" t="s">
        <v>315</v>
      </c>
      <c r="C331" s="325"/>
      <c r="D331" s="1938" t="s">
        <v>1313</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4"/>
      <c r="E335" s="466"/>
      <c r="F335" s="135"/>
      <c r="G335" s="12"/>
    </row>
    <row r="336" spans="1:7">
      <c r="A336" s="325"/>
      <c r="B336" s="325"/>
      <c r="C336" s="325"/>
      <c r="D336" s="1938" t="s">
        <v>1314</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25" customHeight="1">
      <c r="A345" s="325"/>
      <c r="B345" s="325"/>
      <c r="C345" s="325"/>
      <c r="D345" s="1931" t="s">
        <v>1315</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8" customFormat="1">
      <c r="A348" s="325"/>
      <c r="B348" s="325"/>
      <c r="C348" s="325"/>
      <c r="D348" s="1931"/>
      <c r="E348" s="1931"/>
      <c r="F348" s="1931"/>
    </row>
    <row r="349" spans="1:7" s="718" customFormat="1">
      <c r="A349" s="325"/>
      <c r="B349" s="325"/>
      <c r="C349" s="325"/>
      <c r="D349" s="1931"/>
      <c r="E349" s="1931"/>
      <c r="F349" s="1931"/>
    </row>
    <row r="350" spans="1:7" s="718" customFormat="1">
      <c r="A350" s="325"/>
      <c r="B350" s="325"/>
      <c r="C350" s="325"/>
      <c r="D350" s="1931"/>
      <c r="E350" s="1931"/>
      <c r="F350" s="1931"/>
    </row>
    <row r="351" spans="1:7" s="718" customFormat="1">
      <c r="A351" s="325"/>
      <c r="B351" s="325"/>
      <c r="C351" s="325"/>
      <c r="D351" s="1931"/>
      <c r="E351" s="1931"/>
      <c r="F351" s="1931"/>
    </row>
    <row r="352" spans="1:7" s="718"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6"/>
      <c r="D357" s="1931"/>
      <c r="E357" s="1931"/>
      <c r="F357" s="1931"/>
      <c r="G357" s="12"/>
    </row>
    <row r="358" spans="1:7">
      <c r="A358" s="325"/>
      <c r="B358" s="325"/>
      <c r="C358" s="506"/>
      <c r="D358" s="1931"/>
      <c r="E358" s="1931"/>
      <c r="F358" s="1931"/>
      <c r="G358" s="12"/>
    </row>
    <row r="359" spans="1:7">
      <c r="A359" s="325"/>
      <c r="B359" s="325"/>
      <c r="C359" s="325"/>
      <c r="D359" s="1931"/>
      <c r="E359" s="1931"/>
      <c r="F359" s="1931"/>
      <c r="G359" s="12"/>
    </row>
    <row r="360" spans="1:7">
      <c r="A360" s="325"/>
      <c r="B360" s="325"/>
      <c r="C360" s="506"/>
      <c r="D360" s="1931"/>
      <c r="E360" s="1931"/>
      <c r="F360" s="1931"/>
      <c r="G360" s="12"/>
    </row>
    <row r="361" spans="1:7">
      <c r="A361" s="325"/>
      <c r="B361" s="325"/>
      <c r="C361" s="506"/>
      <c r="D361" s="1931"/>
      <c r="E361" s="1931"/>
      <c r="F361" s="1931"/>
      <c r="G361" s="12"/>
    </row>
    <row r="362" spans="1:7">
      <c r="A362" s="325"/>
      <c r="B362" s="325"/>
      <c r="C362" s="506"/>
      <c r="D362" s="1931"/>
      <c r="E362" s="1931"/>
      <c r="F362" s="1931"/>
      <c r="G362" s="12"/>
    </row>
    <row r="363" spans="1:7">
      <c r="A363" s="325"/>
      <c r="B363" s="325"/>
      <c r="C363" s="325"/>
      <c r="D363" s="504"/>
      <c r="E363" s="466"/>
      <c r="F363" s="135"/>
      <c r="G363" s="12"/>
    </row>
    <row r="364" spans="1:7">
      <c r="A364" s="325"/>
      <c r="B364" s="678" t="s">
        <v>315</v>
      </c>
      <c r="C364" s="325"/>
      <c r="D364" s="1931" t="s">
        <v>1316</v>
      </c>
      <c r="E364" s="1931"/>
      <c r="F364" s="1931"/>
      <c r="G364" s="12"/>
    </row>
    <row r="365" spans="1:7">
      <c r="A365" s="325"/>
      <c r="B365" s="325"/>
      <c r="C365" s="325"/>
      <c r="D365" s="1931"/>
      <c r="E365" s="1931"/>
      <c r="F365" s="1931"/>
      <c r="G365" s="12"/>
    </row>
    <row r="366" spans="1:7">
      <c r="A366" s="325"/>
      <c r="B366" s="325"/>
      <c r="C366" s="325"/>
      <c r="D366" s="466"/>
      <c r="E366" s="466"/>
      <c r="F366" s="135"/>
      <c r="G366" s="12"/>
    </row>
    <row r="367" spans="1:7" ht="13">
      <c r="A367" s="261"/>
      <c r="B367" s="678" t="s">
        <v>315</v>
      </c>
      <c r="C367" s="325"/>
      <c r="D367" s="1919" t="s">
        <v>1317</v>
      </c>
      <c r="E367" s="1919"/>
      <c r="F367" s="1919"/>
      <c r="G367" s="12"/>
    </row>
    <row r="368" spans="1:7" ht="13">
      <c r="A368" s="505"/>
      <c r="B368" s="505"/>
      <c r="C368" s="325"/>
      <c r="D368" s="1919"/>
      <c r="E368" s="1919"/>
      <c r="F368" s="1919"/>
      <c r="G368" s="12"/>
    </row>
    <row r="369" spans="1:7" ht="13">
      <c r="A369" s="505"/>
      <c r="B369" s="505"/>
      <c r="C369" s="325"/>
      <c r="D369" s="1919"/>
      <c r="E369" s="1919"/>
      <c r="F369" s="1919"/>
      <c r="G369" s="12"/>
    </row>
    <row r="370" spans="1:7" ht="13">
      <c r="A370" s="505"/>
      <c r="B370" s="505"/>
      <c r="C370" s="325"/>
      <c r="D370" s="1919"/>
      <c r="E370" s="1919"/>
      <c r="F370" s="1919"/>
      <c r="G370" s="12"/>
    </row>
    <row r="371" spans="1:7" ht="13">
      <c r="A371" s="505"/>
      <c r="B371" s="505"/>
      <c r="C371" s="325"/>
      <c r="D371" s="1919"/>
      <c r="E371" s="1919"/>
      <c r="F371" s="1919"/>
      <c r="G371" s="12"/>
    </row>
    <row r="372" spans="1:7">
      <c r="D372" s="135"/>
      <c r="E372" s="135"/>
      <c r="F372" s="135"/>
      <c r="G372" s="12"/>
    </row>
    <row r="373" spans="1:7" ht="13">
      <c r="A373" s="261"/>
      <c r="B373" s="678" t="s">
        <v>315</v>
      </c>
      <c r="C373" s="266"/>
      <c r="D373" s="1862" t="s">
        <v>1318</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75" customHeight="1">
      <c r="A403" s="132"/>
      <c r="B403" s="675"/>
      <c r="C403" s="132"/>
      <c r="D403" s="1862"/>
      <c r="E403" s="1862"/>
      <c r="F403" s="1862"/>
      <c r="G403" s="30"/>
    </row>
    <row r="404" spans="1:7" s="32" customFormat="1">
      <c r="A404" s="132"/>
      <c r="B404" s="675"/>
      <c r="C404" s="132"/>
      <c r="D404" s="135"/>
      <c r="E404" s="135"/>
      <c r="F404" s="135"/>
      <c r="G404" s="30"/>
    </row>
    <row r="405" spans="1:7" ht="13">
      <c r="A405" s="261"/>
      <c r="B405" s="678" t="s">
        <v>315</v>
      </c>
      <c r="C405" s="266"/>
      <c r="D405" s="1887" t="s">
        <v>1319</v>
      </c>
      <c r="E405" s="1887"/>
      <c r="F405" s="1887"/>
    </row>
    <row r="406" spans="1:7">
      <c r="D406" s="1932" t="s">
        <v>1083</v>
      </c>
      <c r="E406" s="1932"/>
      <c r="F406" s="1932"/>
    </row>
    <row r="407" spans="1:7">
      <c r="D407" s="1883" t="s">
        <v>1320</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3">
      <c r="A412" s="261"/>
      <c r="B412" s="678" t="s">
        <v>315</v>
      </c>
      <c r="C412" s="266"/>
      <c r="D412" s="1862" t="s">
        <v>1321</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3">
      <c r="B416" s="678" t="s">
        <v>315</v>
      </c>
      <c r="C416" s="261"/>
      <c r="D416" s="1883" t="s">
        <v>1322</v>
      </c>
      <c r="E416" s="1883"/>
      <c r="F416" s="1883"/>
      <c r="G416" s="12"/>
    </row>
    <row r="417" spans="1:7">
      <c r="D417" s="1883"/>
      <c r="E417" s="1883"/>
      <c r="F417" s="1883"/>
      <c r="G417" s="12"/>
    </row>
    <row r="418" spans="1:7">
      <c r="D418" s="135"/>
      <c r="E418" s="135"/>
      <c r="F418" s="135"/>
      <c r="G418" s="12"/>
    </row>
    <row r="419" spans="1:7" ht="13">
      <c r="B419" s="678" t="s">
        <v>315</v>
      </c>
      <c r="C419" s="261"/>
      <c r="D419" s="1883" t="s">
        <v>1323</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8" t="s">
        <v>315</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8" t="s">
        <v>315</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8" t="s">
        <v>315</v>
      </c>
      <c r="C430" s="12"/>
      <c r="D430" s="1883"/>
      <c r="E430" s="1883"/>
      <c r="F430" s="1883"/>
      <c r="G430" s="12"/>
    </row>
    <row r="431" spans="1:7">
      <c r="A431" s="12"/>
      <c r="B431" s="12"/>
      <c r="C431" s="12"/>
      <c r="D431" s="1883"/>
      <c r="E431" s="1883"/>
      <c r="F431" s="1883"/>
      <c r="G431" s="12"/>
    </row>
    <row r="432" spans="1:7">
      <c r="A432" s="12"/>
      <c r="B432" s="678" t="s">
        <v>315</v>
      </c>
      <c r="C432" s="12"/>
      <c r="D432" s="1883"/>
      <c r="E432" s="1883"/>
      <c r="F432" s="1883"/>
      <c r="G432" s="12"/>
    </row>
    <row r="433" spans="1:7" s="718" customFormat="1">
      <c r="D433" s="728"/>
      <c r="E433" s="728"/>
      <c r="F433" s="728"/>
    </row>
    <row r="434" spans="1:7">
      <c r="A434" s="12"/>
      <c r="B434" s="717" t="s">
        <v>315</v>
      </c>
      <c r="C434" s="12"/>
      <c r="D434" s="1883" t="s">
        <v>1324</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8" t="s">
        <v>315</v>
      </c>
      <c r="D440" s="1894" t="s">
        <v>1325</v>
      </c>
      <c r="E440" s="1894"/>
      <c r="F440" s="1894"/>
    </row>
    <row r="441" spans="1:7">
      <c r="A441" s="135"/>
      <c r="B441" s="135"/>
    </row>
    <row r="442" spans="1:7" ht="13">
      <c r="A442" s="1888" t="s">
        <v>1166</v>
      </c>
      <c r="B442" s="1888"/>
      <c r="C442" s="1888"/>
      <c r="D442" s="1888"/>
      <c r="E442" s="1888"/>
      <c r="F442" s="1888"/>
      <c r="G442" s="1888"/>
    </row>
    <row r="443" spans="1:7">
      <c r="A443" s="135"/>
      <c r="B443" s="135"/>
    </row>
    <row r="444" spans="1:7" ht="13">
      <c r="D444" s="1939" t="s">
        <v>947</v>
      </c>
      <c r="E444" s="1939"/>
      <c r="F444" s="1939"/>
    </row>
    <row r="445" spans="1:7" s="39" customFormat="1" ht="13">
      <c r="A445" s="402"/>
      <c r="B445" s="402"/>
      <c r="C445" s="273"/>
      <c r="D445" s="1940" t="s">
        <v>1326</v>
      </c>
      <c r="E445" s="1940"/>
      <c r="F445" s="1940"/>
      <c r="G445" s="130"/>
    </row>
    <row r="446" spans="1:7" s="39" customFormat="1" ht="13">
      <c r="A446" s="402"/>
      <c r="B446" s="402"/>
      <c r="C446" s="273"/>
      <c r="D446" s="731"/>
      <c r="E446" s="6"/>
      <c r="F446" s="6"/>
      <c r="G446" s="130"/>
    </row>
    <row r="447" spans="1:7" s="39" customFormat="1" ht="13">
      <c r="A447" s="261"/>
      <c r="B447" s="678" t="s">
        <v>315</v>
      </c>
      <c r="C447" s="273"/>
      <c r="D447" s="1941" t="s">
        <v>1327</v>
      </c>
      <c r="E447" s="1941"/>
      <c r="F447" s="1941"/>
      <c r="G447" s="130"/>
    </row>
    <row r="448" spans="1:7" s="39" customFormat="1" ht="13">
      <c r="A448" s="261"/>
      <c r="B448" s="261"/>
      <c r="C448" s="273"/>
      <c r="D448" s="1941"/>
      <c r="E448" s="1941"/>
      <c r="F448" s="1941"/>
      <c r="G448" s="130"/>
    </row>
    <row r="449" spans="1:7" s="39" customFormat="1" ht="13">
      <c r="A449" s="261"/>
      <c r="B449" s="261"/>
      <c r="C449" s="273"/>
      <c r="D449" s="729"/>
      <c r="E449" s="6"/>
      <c r="F449" s="6"/>
      <c r="G449" s="130"/>
    </row>
    <row r="450" spans="1:7">
      <c r="B450" s="678" t="s">
        <v>315</v>
      </c>
      <c r="D450" s="1911" t="s">
        <v>1328</v>
      </c>
      <c r="E450" s="1911"/>
      <c r="F450" s="1911"/>
    </row>
    <row r="451" spans="1:7" ht="13">
      <c r="A451" s="261"/>
      <c r="D451" s="1911"/>
      <c r="E451" s="1911"/>
      <c r="F451" s="1911"/>
    </row>
    <row r="452" spans="1:7" ht="13">
      <c r="A452" s="261"/>
      <c r="B452" s="261"/>
      <c r="D452" s="1911"/>
      <c r="E452" s="1911"/>
      <c r="F452" s="1911"/>
    </row>
    <row r="453" spans="1:7" ht="13">
      <c r="A453" s="261"/>
      <c r="B453" s="261"/>
      <c r="D453" s="1911"/>
      <c r="E453" s="1911"/>
      <c r="F453" s="1911"/>
    </row>
    <row r="454" spans="1:7">
      <c r="D454" s="677"/>
      <c r="E454" s="677"/>
      <c r="F454" s="677"/>
      <c r="G454" s="12"/>
    </row>
    <row r="455" spans="1:7" ht="13">
      <c r="A455" s="261"/>
      <c r="B455" s="678" t="s">
        <v>315</v>
      </c>
      <c r="D455" s="1864" t="s">
        <v>1329</v>
      </c>
      <c r="E455" s="1864"/>
      <c r="F455" s="1864"/>
      <c r="G455" s="12"/>
    </row>
    <row r="456" spans="1:7" ht="13">
      <c r="A456" s="261"/>
      <c r="B456" s="261"/>
      <c r="D456" s="1864"/>
      <c r="E456" s="1864"/>
      <c r="F456" s="1864"/>
      <c r="G456" s="12"/>
    </row>
    <row r="457" spans="1:7" ht="13">
      <c r="A457" s="261"/>
      <c r="D457" s="1864"/>
      <c r="E457" s="1864"/>
      <c r="F457" s="1864"/>
      <c r="G457" s="12"/>
    </row>
    <row r="458" spans="1:7" ht="13">
      <c r="A458" s="261"/>
      <c r="B458" s="261"/>
      <c r="D458" s="677"/>
      <c r="E458" s="677"/>
      <c r="F458" s="677"/>
      <c r="G458" s="12"/>
    </row>
    <row r="459" spans="1:7" ht="13">
      <c r="A459" s="261"/>
      <c r="B459" s="717" t="s">
        <v>315</v>
      </c>
      <c r="D459" s="1887" t="s">
        <v>1330</v>
      </c>
      <c r="E459" s="1887"/>
      <c r="F459" s="1887"/>
      <c r="G459" s="12"/>
    </row>
    <row r="460" spans="1:7" ht="13">
      <c r="A460" s="261"/>
      <c r="B460" s="261"/>
      <c r="D460" s="729"/>
      <c r="E460" s="6"/>
      <c r="F460" s="6"/>
      <c r="G460" s="12"/>
    </row>
    <row r="461" spans="1:7" ht="13">
      <c r="A461" s="261"/>
      <c r="B461" s="678" t="s">
        <v>315</v>
      </c>
      <c r="D461" s="1862" t="s">
        <v>1331</v>
      </c>
      <c r="E461" s="1862"/>
      <c r="F461" s="1862"/>
      <c r="G461" s="12"/>
    </row>
    <row r="462" spans="1:7" ht="13">
      <c r="A462" s="261"/>
      <c r="D462" s="1862"/>
      <c r="E462" s="1862"/>
      <c r="F462" s="1862"/>
      <c r="G462" s="12"/>
    </row>
    <row r="463" spans="1:7" ht="13">
      <c r="A463" s="23"/>
      <c r="B463" s="674"/>
      <c r="D463" s="732"/>
      <c r="E463" s="6"/>
      <c r="F463" s="6"/>
      <c r="G463" s="12"/>
    </row>
    <row r="464" spans="1:7" ht="13">
      <c r="A464" s="23"/>
      <c r="B464" s="717" t="s">
        <v>315</v>
      </c>
      <c r="D464" s="1887" t="s">
        <v>1332</v>
      </c>
      <c r="E464" s="1887"/>
      <c r="F464" s="1887"/>
      <c r="G464" s="12"/>
    </row>
    <row r="465" spans="1:7" ht="13">
      <c r="A465" s="261"/>
      <c r="B465" s="261"/>
      <c r="D465" s="135"/>
    </row>
    <row r="466" spans="1:7" ht="13">
      <c r="A466" s="1888" t="s">
        <v>1167</v>
      </c>
      <c r="B466" s="1888"/>
      <c r="C466" s="1888"/>
      <c r="D466" s="1888"/>
      <c r="E466" s="1888"/>
      <c r="F466" s="1888"/>
      <c r="G466" s="1888"/>
    </row>
    <row r="467" spans="1:7" customFormat="1" ht="12" customHeight="1">
      <c r="A467" s="261"/>
      <c r="B467" s="261"/>
      <c r="C467" s="10"/>
      <c r="D467" s="151"/>
      <c r="E467" s="149"/>
      <c r="F467" s="149"/>
      <c r="G467" s="149"/>
    </row>
    <row r="468" spans="1:7" customFormat="1" ht="13">
      <c r="A468" s="273"/>
      <c r="B468" s="273"/>
      <c r="C468" s="312"/>
      <c r="D468" s="1942" t="s">
        <v>850</v>
      </c>
      <c r="E468" s="1942"/>
      <c r="F468" s="1942"/>
      <c r="G468" s="182"/>
    </row>
    <row r="469" spans="1:7" customFormat="1" ht="13.25" customHeight="1">
      <c r="A469" s="260"/>
      <c r="B469" s="260"/>
      <c r="C469" s="313"/>
      <c r="D469" s="1943" t="s">
        <v>1210</v>
      </c>
      <c r="E469" s="1943"/>
      <c r="F469" s="1943"/>
      <c r="G469" s="149"/>
    </row>
    <row r="470" spans="1:7" customFormat="1" ht="13">
      <c r="A470" s="260"/>
      <c r="B470" s="260"/>
      <c r="C470" s="313"/>
      <c r="D470" s="1943"/>
      <c r="E470" s="1943"/>
      <c r="F470" s="1943"/>
      <c r="G470" s="149"/>
    </row>
    <row r="471" spans="1:7" customFormat="1" ht="13">
      <c r="A471" s="260"/>
      <c r="B471" s="260"/>
      <c r="C471" s="313"/>
      <c r="D471" s="1943"/>
      <c r="E471" s="1943"/>
      <c r="F471" s="1943"/>
      <c r="G471" s="149"/>
    </row>
    <row r="472" spans="1:7" customFormat="1" ht="13">
      <c r="A472" s="260"/>
      <c r="B472" s="260"/>
      <c r="C472" s="313"/>
      <c r="D472" s="1943"/>
      <c r="E472" s="1943"/>
      <c r="F472" s="1943"/>
      <c r="G472" s="149"/>
    </row>
    <row r="473" spans="1:7" customFormat="1" ht="13">
      <c r="A473" s="260"/>
      <c r="B473" s="260"/>
      <c r="C473" s="313"/>
      <c r="D473" s="1943"/>
      <c r="E473" s="1943"/>
      <c r="F473" s="1943"/>
      <c r="G473" s="149"/>
    </row>
    <row r="474" spans="1:7" customFormat="1" ht="13">
      <c r="A474" s="260"/>
      <c r="B474" s="260"/>
      <c r="C474" s="313"/>
      <c r="D474" s="470"/>
      <c r="E474" s="149"/>
      <c r="F474" s="151"/>
      <c r="G474" s="149"/>
    </row>
    <row r="475" spans="1:7" customFormat="1" ht="14.5" customHeight="1">
      <c r="A475" s="261"/>
      <c r="B475" s="678" t="s">
        <v>315</v>
      </c>
      <c r="C475" s="313"/>
      <c r="D475" s="1909" t="s">
        <v>1201</v>
      </c>
      <c r="E475" s="1909"/>
      <c r="F475" s="1909"/>
      <c r="G475" s="149"/>
    </row>
    <row r="476" spans="1:7" customFormat="1" ht="13">
      <c r="A476" s="260"/>
      <c r="B476" s="260"/>
      <c r="C476" s="313"/>
      <c r="D476" s="1909"/>
      <c r="E476" s="1909"/>
      <c r="F476" s="1909"/>
      <c r="G476" s="149"/>
    </row>
    <row r="477" spans="1:7" s="679" customFormat="1" ht="13">
      <c r="A477" s="260"/>
      <c r="B477" s="260"/>
      <c r="C477" s="313"/>
      <c r="D477" s="1909"/>
      <c r="E477" s="1909"/>
      <c r="F477" s="1909"/>
      <c r="G477" s="149"/>
    </row>
    <row r="478" spans="1:7" s="679" customFormat="1" ht="13">
      <c r="A478" s="260"/>
      <c r="B478" s="260"/>
      <c r="C478" s="313"/>
      <c r="D478" s="1909"/>
      <c r="E478" s="1909"/>
      <c r="F478" s="1909"/>
      <c r="G478" s="149"/>
    </row>
    <row r="479" spans="1:7" customFormat="1" ht="13">
      <c r="A479" s="260"/>
      <c r="B479" s="260"/>
      <c r="C479" s="313"/>
      <c r="D479" s="1909"/>
      <c r="E479" s="1909"/>
      <c r="F479" s="1909"/>
      <c r="G479" s="149"/>
    </row>
    <row r="480" spans="1:7" customFormat="1" ht="13">
      <c r="A480" s="260"/>
      <c r="B480" s="260"/>
      <c r="C480" s="313"/>
      <c r="D480" s="442"/>
      <c r="E480" s="149"/>
      <c r="F480" s="151"/>
      <c r="G480" s="149"/>
    </row>
    <row r="481" spans="1:7" customFormat="1" ht="14.5" customHeight="1">
      <c r="A481" s="261"/>
      <c r="B481" s="678" t="s">
        <v>315</v>
      </c>
      <c r="C481" s="313"/>
      <c r="D481" s="1909" t="s">
        <v>1204</v>
      </c>
      <c r="E481" s="1909"/>
      <c r="F481" s="1909"/>
      <c r="G481" s="149"/>
    </row>
    <row r="482" spans="1:7" customFormat="1" ht="13">
      <c r="A482" s="260"/>
      <c r="B482" s="260"/>
      <c r="C482" s="313"/>
      <c r="D482" s="1909"/>
      <c r="E482" s="1909"/>
      <c r="F482" s="1909"/>
      <c r="G482" s="149"/>
    </row>
    <row r="483" spans="1:7" s="679" customFormat="1" ht="13">
      <c r="A483" s="260"/>
      <c r="B483" s="260"/>
      <c r="C483" s="313"/>
      <c r="D483" s="1909"/>
      <c r="E483" s="1909"/>
      <c r="F483" s="1909"/>
      <c r="G483" s="149"/>
    </row>
    <row r="484" spans="1:7" customFormat="1" ht="13">
      <c r="A484" s="260"/>
      <c r="B484" s="260"/>
      <c r="C484" s="313"/>
      <c r="D484" s="1909"/>
      <c r="E484" s="1909"/>
      <c r="F484" s="1909"/>
      <c r="G484" s="149"/>
    </row>
    <row r="485" spans="1:7" customFormat="1" ht="10" customHeight="1">
      <c r="A485" s="260"/>
      <c r="B485" s="260"/>
      <c r="C485" s="313"/>
      <c r="D485" s="442"/>
      <c r="E485" s="149"/>
      <c r="F485" s="151"/>
      <c r="G485" s="149"/>
    </row>
    <row r="486" spans="1:7" customFormat="1" ht="14.5" customHeight="1">
      <c r="A486" s="261"/>
      <c r="B486" s="678" t="s">
        <v>315</v>
      </c>
      <c r="C486" s="313"/>
      <c r="D486" s="1909" t="s">
        <v>1202</v>
      </c>
      <c r="E486" s="1909"/>
      <c r="F486" s="1909"/>
      <c r="G486" s="149"/>
    </row>
    <row r="487" spans="1:7" customFormat="1" ht="13">
      <c r="A487" s="260"/>
      <c r="B487" s="260"/>
      <c r="C487" s="313"/>
      <c r="D487" s="1909"/>
      <c r="E487" s="1909"/>
      <c r="F487" s="1909"/>
      <c r="G487" s="149"/>
    </row>
    <row r="488" spans="1:7" customFormat="1" ht="13">
      <c r="A488" s="260"/>
      <c r="B488" s="260"/>
      <c r="C488" s="313"/>
      <c r="D488" s="1909"/>
      <c r="E488" s="1909"/>
      <c r="F488" s="1909"/>
      <c r="G488" s="149"/>
    </row>
    <row r="489" spans="1:7" s="679" customFormat="1" ht="13">
      <c r="A489" s="260"/>
      <c r="B489" s="260"/>
      <c r="C489" s="313"/>
      <c r="D489" s="699"/>
      <c r="E489" s="699"/>
      <c r="F489" s="699"/>
      <c r="G489" s="149"/>
    </row>
    <row r="490" spans="1:7" customFormat="1" ht="14.5" customHeight="1">
      <c r="A490" s="261"/>
      <c r="B490" s="678" t="s">
        <v>315</v>
      </c>
      <c r="C490" s="313"/>
      <c r="D490" s="1909" t="s">
        <v>1203</v>
      </c>
      <c r="E490" s="1909"/>
      <c r="F490" s="1909"/>
      <c r="G490" s="149"/>
    </row>
    <row r="491" spans="1:7" customFormat="1" ht="13">
      <c r="A491" s="260"/>
      <c r="B491" s="260"/>
      <c r="C491" s="313"/>
      <c r="D491" s="1909"/>
      <c r="E491" s="1909"/>
      <c r="F491" s="1909"/>
      <c r="G491" s="149"/>
    </row>
    <row r="492" spans="1:7" customFormat="1" ht="13">
      <c r="A492" s="260"/>
      <c r="B492" s="260"/>
      <c r="C492" s="313"/>
      <c r="D492" s="1909"/>
      <c r="E492" s="1909"/>
      <c r="F492" s="1909"/>
      <c r="G492" s="149"/>
    </row>
    <row r="493" spans="1:7" customFormat="1" ht="13">
      <c r="A493" s="260"/>
      <c r="B493" s="260"/>
      <c r="C493" s="313"/>
      <c r="D493" s="1909"/>
      <c r="E493" s="1909"/>
      <c r="F493" s="1909"/>
      <c r="G493" s="149"/>
    </row>
    <row r="494" spans="1:7" customFormat="1" ht="13">
      <c r="A494" s="260"/>
      <c r="B494" s="260"/>
      <c r="C494" s="313"/>
      <c r="D494" s="1909"/>
      <c r="E494" s="1909"/>
      <c r="F494" s="1909"/>
      <c r="G494" s="149"/>
    </row>
    <row r="495" spans="1:7" customFormat="1" ht="13">
      <c r="A495" s="260"/>
      <c r="B495" s="260"/>
      <c r="C495" s="313"/>
      <c r="D495" s="1909"/>
      <c r="E495" s="1909"/>
      <c r="F495" s="1909"/>
      <c r="G495" s="149"/>
    </row>
    <row r="496" spans="1:7" customFormat="1" ht="13">
      <c r="A496" s="260"/>
      <c r="B496" s="260"/>
      <c r="C496" s="313"/>
      <c r="D496" s="1909"/>
      <c r="E496" s="1909"/>
      <c r="F496" s="1909"/>
      <c r="G496" s="149"/>
    </row>
    <row r="497" spans="1:7" customFormat="1" ht="13">
      <c r="A497" s="486"/>
      <c r="B497" s="486"/>
      <c r="C497" s="485"/>
      <c r="D497" s="1909"/>
      <c r="E497" s="1909"/>
      <c r="F497" s="1909"/>
      <c r="G497" s="149"/>
    </row>
    <row r="498" spans="1:7" customFormat="1" ht="13">
      <c r="A498" s="486"/>
      <c r="B498" s="486"/>
      <c r="C498" s="485"/>
      <c r="D498" s="1909"/>
      <c r="E498" s="1909"/>
      <c r="F498" s="1909"/>
      <c r="G498" s="149"/>
    </row>
    <row r="499" spans="1:7" customFormat="1" ht="13">
      <c r="A499" s="486"/>
      <c r="B499" s="486"/>
      <c r="C499" s="485"/>
      <c r="D499" s="442"/>
      <c r="E499" s="149"/>
      <c r="F499" s="151"/>
      <c r="G499" s="149"/>
    </row>
    <row r="500" spans="1:7" customFormat="1" ht="13.25" customHeight="1">
      <c r="A500" s="486"/>
      <c r="B500" s="678" t="s">
        <v>315</v>
      </c>
      <c r="C500" s="485"/>
      <c r="D500" s="1922" t="s">
        <v>1347</v>
      </c>
      <c r="E500" s="1922"/>
      <c r="F500" s="1922"/>
      <c r="G500" s="149"/>
    </row>
    <row r="501" spans="1:7" customFormat="1" ht="13">
      <c r="A501" s="486"/>
      <c r="B501" s="486"/>
      <c r="C501" s="485"/>
      <c r="D501" s="1922"/>
      <c r="E501" s="1922"/>
      <c r="F501" s="1922"/>
      <c r="G501" s="149"/>
    </row>
    <row r="502" spans="1:7" customFormat="1" ht="13">
      <c r="A502" s="486"/>
      <c r="B502" s="486"/>
      <c r="C502" s="485"/>
      <c r="D502" s="1922"/>
      <c r="E502" s="1922"/>
      <c r="F502" s="1922"/>
      <c r="G502" s="149"/>
    </row>
    <row r="503" spans="1:7" customFormat="1" ht="13">
      <c r="A503" s="486"/>
      <c r="B503" s="486"/>
      <c r="C503" s="485"/>
      <c r="D503" s="1922"/>
      <c r="E503" s="1922"/>
      <c r="F503" s="1922"/>
      <c r="G503" s="149"/>
    </row>
    <row r="504" spans="1:7" customFormat="1" ht="13">
      <c r="A504" s="260"/>
      <c r="B504" s="260"/>
      <c r="C504" s="313"/>
      <c r="D504" s="1922"/>
      <c r="E504" s="1922"/>
      <c r="F504" s="1922"/>
      <c r="G504" s="149"/>
    </row>
    <row r="505" spans="1:7" s="716" customFormat="1" ht="13">
      <c r="A505" s="719"/>
      <c r="B505" s="719"/>
      <c r="C505" s="313"/>
      <c r="D505" s="740"/>
      <c r="E505" s="740"/>
      <c r="F505" s="740"/>
      <c r="G505" s="149"/>
    </row>
    <row r="506" spans="1:7" customFormat="1" ht="14.5" customHeight="1">
      <c r="A506" s="261"/>
      <c r="B506" s="678" t="s">
        <v>315</v>
      </c>
      <c r="C506" s="10"/>
      <c r="D506" s="1909" t="s">
        <v>1205</v>
      </c>
      <c r="E506" s="1909"/>
      <c r="F506" s="1909"/>
      <c r="G506" s="149"/>
    </row>
    <row r="507" spans="1:7" customFormat="1">
      <c r="A507" s="132"/>
      <c r="B507" s="675"/>
      <c r="C507" s="10"/>
      <c r="D507" s="1909"/>
      <c r="E507" s="1909"/>
      <c r="F507" s="1909"/>
      <c r="G507" s="149"/>
    </row>
    <row r="508" spans="1:7" customFormat="1">
      <c r="A508" s="132"/>
      <c r="B508" s="675"/>
      <c r="C508" s="10"/>
      <c r="D508" s="1909"/>
      <c r="E508" s="1909"/>
      <c r="F508" s="1909"/>
      <c r="G508" s="149"/>
    </row>
    <row r="509" spans="1:7" customFormat="1" ht="12" customHeight="1">
      <c r="A509" s="135"/>
      <c r="B509" s="135"/>
      <c r="C509" s="315"/>
      <c r="D509" s="135"/>
      <c r="E509" s="149"/>
      <c r="F509" s="314"/>
      <c r="G509" s="149"/>
    </row>
    <row r="510" spans="1:7" ht="13">
      <c r="A510" s="1888" t="s">
        <v>1168</v>
      </c>
      <c r="B510" s="1888"/>
      <c r="C510" s="1888"/>
      <c r="D510" s="1888"/>
      <c r="E510" s="1888"/>
      <c r="F510" s="1888"/>
      <c r="G510" s="1888"/>
    </row>
    <row r="511" spans="1:7" ht="13">
      <c r="A511" s="135"/>
      <c r="B511" s="135"/>
      <c r="C511" s="266"/>
      <c r="F511" s="134"/>
    </row>
    <row r="512" spans="1:7">
      <c r="B512" s="1884" t="s">
        <v>469</v>
      </c>
      <c r="C512" s="1884"/>
      <c r="D512" s="1884"/>
      <c r="E512" s="1884"/>
      <c r="F512" s="1884"/>
    </row>
    <row r="513" spans="1:7">
      <c r="A513" s="135"/>
      <c r="B513" s="135"/>
      <c r="C513" s="266"/>
      <c r="D513" s="135"/>
      <c r="F513" s="135"/>
    </row>
    <row r="514" spans="1:7" ht="13">
      <c r="A514" s="1889" t="s">
        <v>1169</v>
      </c>
      <c r="B514" s="1889"/>
      <c r="C514" s="1889"/>
      <c r="D514" s="1889"/>
      <c r="E514" s="1889"/>
      <c r="F514" s="1889"/>
      <c r="G514" s="1889"/>
    </row>
    <row r="515" spans="1:7">
      <c r="A515" s="135"/>
      <c r="B515" s="135"/>
      <c r="C515" s="266"/>
      <c r="D515" s="135"/>
      <c r="F515" s="135"/>
    </row>
    <row r="516" spans="1:7" ht="13">
      <c r="C516" s="266"/>
      <c r="D516" s="1886" t="s">
        <v>719</v>
      </c>
      <c r="E516" s="1886"/>
      <c r="F516" s="1886"/>
    </row>
    <row r="517" spans="1:7" s="681" customFormat="1">
      <c r="A517" s="698"/>
      <c r="B517" s="698"/>
      <c r="C517" s="266"/>
      <c r="D517" s="1887" t="s">
        <v>1226</v>
      </c>
      <c r="E517" s="1887"/>
      <c r="F517" s="1887"/>
      <c r="G517" s="7"/>
    </row>
    <row r="518" spans="1:7" s="681" customFormat="1">
      <c r="A518" s="698"/>
      <c r="B518" s="698"/>
      <c r="C518" s="266"/>
      <c r="D518" s="703"/>
      <c r="E518" s="703"/>
      <c r="F518" s="703"/>
      <c r="G518" s="7"/>
    </row>
    <row r="519" spans="1:7" ht="13.25" customHeight="1">
      <c r="A519" s="261"/>
      <c r="B519" s="678" t="s">
        <v>315</v>
      </c>
      <c r="C519" s="266"/>
      <c r="D519" s="1887" t="s">
        <v>948</v>
      </c>
      <c r="E519" s="1887"/>
      <c r="F519" s="1887"/>
      <c r="G519" s="12"/>
    </row>
    <row r="520" spans="1:7" ht="13.25" customHeight="1">
      <c r="A520" s="266"/>
      <c r="B520" s="266"/>
      <c r="C520" s="266"/>
      <c r="D520" s="703"/>
      <c r="E520" s="676"/>
      <c r="F520" s="676"/>
      <c r="G520" s="12"/>
    </row>
    <row r="521" spans="1:7" ht="13">
      <c r="A521" s="261"/>
      <c r="B521" s="678" t="s">
        <v>315</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8" t="s">
        <v>315</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8" t="s">
        <v>315</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8" t="s">
        <v>315</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8" t="s">
        <v>315</v>
      </c>
      <c r="C534" s="266"/>
      <c r="D534" s="1885" t="s">
        <v>1348</v>
      </c>
      <c r="E534" s="1885"/>
      <c r="F534" s="1885"/>
    </row>
    <row r="535" spans="1:7">
      <c r="A535" s="266"/>
      <c r="B535" s="266"/>
      <c r="C535" s="266"/>
      <c r="D535" s="1885"/>
      <c r="E535" s="1885"/>
      <c r="F535" s="1885"/>
    </row>
    <row r="536" spans="1:7">
      <c r="A536" s="266"/>
      <c r="B536" s="266"/>
      <c r="C536" s="266"/>
      <c r="D536" s="135"/>
      <c r="E536" s="135"/>
      <c r="F536" s="135"/>
    </row>
    <row r="537" spans="1:7" ht="13">
      <c r="A537" s="261"/>
      <c r="B537" s="678" t="s">
        <v>315</v>
      </c>
      <c r="C537" s="266"/>
      <c r="D537" s="1885" t="s">
        <v>1231</v>
      </c>
      <c r="E537" s="1885"/>
      <c r="F537" s="1885"/>
    </row>
    <row r="538" spans="1:7">
      <c r="A538" s="266"/>
      <c r="B538" s="266"/>
      <c r="C538" s="266"/>
      <c r="D538" s="1885"/>
      <c r="E538" s="1885"/>
      <c r="F538" s="1885"/>
    </row>
    <row r="539" spans="1:7">
      <c r="A539" s="266"/>
      <c r="B539" s="266"/>
      <c r="C539" s="266"/>
      <c r="D539" s="135"/>
      <c r="E539" s="135"/>
      <c r="F539" s="135"/>
    </row>
    <row r="540" spans="1:7" ht="13">
      <c r="A540" s="261"/>
      <c r="B540" s="678" t="s">
        <v>315</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8" t="s">
        <v>315</v>
      </c>
      <c r="C543" s="266"/>
      <c r="D543" s="1887" t="s">
        <v>1233</v>
      </c>
      <c r="E543" s="1887"/>
      <c r="F543" s="1887"/>
      <c r="G543" s="57"/>
    </row>
    <row r="544" spans="1:7" ht="13">
      <c r="A544" s="23"/>
      <c r="B544" s="674"/>
      <c r="C544" s="266"/>
      <c r="D544" s="1887" t="s">
        <v>880</v>
      </c>
      <c r="E544" s="1887"/>
      <c r="F544" s="1887"/>
      <c r="G544" s="57"/>
    </row>
    <row r="545" spans="1:7" ht="13">
      <c r="A545" s="23"/>
      <c r="B545" s="674"/>
      <c r="C545" s="266"/>
      <c r="D545" s="6"/>
      <c r="E545" s="1892" t="s">
        <v>1234</v>
      </c>
      <c r="F545" s="1892"/>
      <c r="G545" s="57"/>
    </row>
    <row r="546" spans="1:7" ht="13">
      <c r="A546" s="261"/>
      <c r="B546" s="261"/>
      <c r="C546" s="266"/>
      <c r="E546" s="135"/>
      <c r="F546" s="135"/>
      <c r="G546" s="57"/>
    </row>
    <row r="547" spans="1:7" ht="13">
      <c r="A547" s="261"/>
      <c r="B547" s="678" t="s">
        <v>315</v>
      </c>
      <c r="C547" s="266"/>
      <c r="D547" s="1893" t="s">
        <v>1235</v>
      </c>
      <c r="E547" s="1893"/>
      <c r="F547" s="1893"/>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8" t="s">
        <v>315</v>
      </c>
      <c r="C552" s="266"/>
      <c r="D552" s="1862" t="s">
        <v>1237</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8" t="s">
        <v>1170</v>
      </c>
      <c r="B557" s="1888"/>
      <c r="C557" s="1888"/>
      <c r="D557" s="1888"/>
      <c r="E557" s="1888"/>
      <c r="F557" s="1888"/>
      <c r="G557" s="1888"/>
    </row>
    <row r="558" spans="1:7">
      <c r="A558" s="266"/>
      <c r="B558" s="266"/>
      <c r="C558" s="266"/>
      <c r="E558" s="135"/>
      <c r="F558" s="135"/>
      <c r="G558" s="57"/>
    </row>
    <row r="559" spans="1:7" ht="12.75" customHeight="1">
      <c r="C559" s="255"/>
      <c r="D559" s="1904" t="s">
        <v>215</v>
      </c>
      <c r="E559" s="1904"/>
      <c r="F559" s="1904"/>
      <c r="G559" s="57"/>
    </row>
    <row r="560" spans="1:7" ht="13">
      <c r="A560" s="260"/>
      <c r="B560" s="260"/>
      <c r="C560" s="260"/>
      <c r="D560" s="1910" t="s">
        <v>1186</v>
      </c>
      <c r="E560" s="1910"/>
      <c r="F560" s="1910"/>
      <c r="G560" s="57"/>
    </row>
    <row r="561" spans="1:7" ht="13">
      <c r="A561" s="12"/>
      <c r="B561" s="12"/>
      <c r="C561" s="260"/>
      <c r="D561" s="377"/>
      <c r="G561" s="57"/>
    </row>
    <row r="562" spans="1:7" ht="13">
      <c r="A562" s="260"/>
      <c r="B562" s="678" t="s">
        <v>315</v>
      </c>
      <c r="D562" s="1910" t="s">
        <v>954</v>
      </c>
      <c r="E562" s="1910"/>
      <c r="F562" s="1910"/>
      <c r="G562" s="57"/>
    </row>
    <row r="563" spans="1:7" ht="13">
      <c r="A563" s="23"/>
      <c r="B563" s="674"/>
      <c r="D563" s="325"/>
    </row>
    <row r="564" spans="1:7" ht="13">
      <c r="A564" s="23"/>
      <c r="B564" s="678" t="s">
        <v>315</v>
      </c>
      <c r="D564" s="1911" t="s">
        <v>1187</v>
      </c>
      <c r="E564" s="1911"/>
      <c r="F564" s="1911"/>
    </row>
    <row r="565" spans="1:7" ht="13">
      <c r="A565" s="23"/>
      <c r="B565" s="674"/>
      <c r="D565" s="1911"/>
      <c r="E565" s="1911"/>
      <c r="F565" s="1911"/>
    </row>
    <row r="566" spans="1:7" ht="13">
      <c r="A566" s="23"/>
      <c r="B566" s="687"/>
      <c r="D566" s="1911"/>
      <c r="E566" s="1911"/>
      <c r="F566" s="1911"/>
    </row>
    <row r="567" spans="1:7" ht="13">
      <c r="A567" s="23"/>
      <c r="B567" s="674"/>
      <c r="D567" s="477"/>
    </row>
    <row r="568" spans="1:7" s="681" customFormat="1" ht="13">
      <c r="A568" s="687"/>
      <c r="B568" s="678" t="s">
        <v>315</v>
      </c>
      <c r="C568" s="688"/>
      <c r="D568" s="1911" t="s">
        <v>1188</v>
      </c>
      <c r="E568" s="1911"/>
      <c r="F568" s="1911"/>
      <c r="G568" s="7"/>
    </row>
    <row r="569" spans="1:7" s="681" customFormat="1" ht="13">
      <c r="A569" s="687"/>
      <c r="B569" s="687"/>
      <c r="C569" s="688"/>
      <c r="D569" s="1911"/>
      <c r="E569" s="1911"/>
      <c r="F569" s="1911"/>
      <c r="G569" s="7"/>
    </row>
    <row r="570" spans="1:7" s="681" customFormat="1" ht="13">
      <c r="A570" s="687"/>
      <c r="B570" s="687"/>
      <c r="C570" s="688"/>
      <c r="D570" s="1911"/>
      <c r="E570" s="1911"/>
      <c r="F570" s="1911"/>
      <c r="G570" s="7"/>
    </row>
    <row r="571" spans="1:7" s="681" customFormat="1" ht="13">
      <c r="A571" s="687"/>
      <c r="B571" s="687"/>
      <c r="C571" s="688"/>
      <c r="D571" s="1911"/>
      <c r="E571" s="1911"/>
      <c r="F571" s="1911"/>
      <c r="G571" s="7"/>
    </row>
    <row r="572" spans="1:7" s="681" customFormat="1" ht="13">
      <c r="A572" s="687"/>
      <c r="B572" s="687"/>
      <c r="C572" s="688"/>
      <c r="D572" s="693"/>
      <c r="E572" s="693"/>
      <c r="F572" s="693"/>
      <c r="G572" s="7"/>
    </row>
    <row r="573" spans="1:7" ht="13">
      <c r="A573" s="23"/>
      <c r="B573" s="678" t="s">
        <v>315</v>
      </c>
      <c r="D573" s="1911" t="s">
        <v>1189</v>
      </c>
      <c r="E573" s="1911"/>
      <c r="F573" s="1911"/>
    </row>
    <row r="574" spans="1:7" ht="13">
      <c r="A574" s="23"/>
      <c r="B574" s="674"/>
      <c r="D574" s="1911"/>
      <c r="E574" s="1911"/>
      <c r="F574" s="1911"/>
    </row>
    <row r="575" spans="1:7" ht="13">
      <c r="A575" s="23"/>
      <c r="B575" s="674"/>
      <c r="D575" s="377"/>
    </row>
    <row r="576" spans="1:7" s="681" customFormat="1" ht="13">
      <c r="A576" s="687"/>
      <c r="B576" s="678" t="s">
        <v>315</v>
      </c>
      <c r="C576" s="688"/>
      <c r="D576" s="1910" t="s">
        <v>1190</v>
      </c>
      <c r="E576" s="1910"/>
      <c r="F576" s="1910"/>
      <c r="G576" s="7"/>
    </row>
    <row r="577" spans="1:7" s="681" customFormat="1" ht="13">
      <c r="A577" s="687"/>
      <c r="B577" s="687"/>
      <c r="C577" s="688"/>
      <c r="D577" s="1910"/>
      <c r="E577" s="1910"/>
      <c r="F577" s="1910"/>
      <c r="G577" s="7"/>
    </row>
    <row r="578" spans="1:7" s="681" customFormat="1" ht="13">
      <c r="A578" s="687"/>
      <c r="B578" s="687"/>
      <c r="C578" s="688"/>
      <c r="D578" s="377"/>
      <c r="E578" s="7"/>
      <c r="F578" s="7"/>
      <c r="G578" s="7"/>
    </row>
    <row r="579" spans="1:7" ht="13">
      <c r="A579" s="261"/>
      <c r="B579" s="678" t="s">
        <v>315</v>
      </c>
      <c r="D579" s="1910" t="s">
        <v>949</v>
      </c>
      <c r="E579" s="1910"/>
      <c r="F579" s="1910"/>
    </row>
    <row r="580" spans="1:7" ht="13">
      <c r="A580" s="261"/>
      <c r="B580" s="261"/>
      <c r="D580" s="377"/>
    </row>
    <row r="581" spans="1:7" ht="13">
      <c r="A581" s="261"/>
      <c r="B581" s="678" t="s">
        <v>315</v>
      </c>
      <c r="D581" s="1910" t="s">
        <v>1191</v>
      </c>
      <c r="E581" s="1910"/>
      <c r="F581" s="1910"/>
    </row>
    <row r="582" spans="1:7" ht="13">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ht="13">
      <c r="A588" s="1888" t="s">
        <v>1171</v>
      </c>
      <c r="B588" s="1888"/>
      <c r="C588" s="1888"/>
      <c r="D588" s="1888"/>
      <c r="E588" s="1888"/>
      <c r="F588" s="1888"/>
      <c r="G588" s="1888"/>
    </row>
    <row r="589" spans="1:7"/>
    <row r="590" spans="1:7" ht="13">
      <c r="D590" s="1878" t="s">
        <v>1271</v>
      </c>
      <c r="E590" s="1878"/>
      <c r="F590" s="1878"/>
    </row>
    <row r="591" spans="1:7">
      <c r="D591" s="1879" t="s">
        <v>1272</v>
      </c>
      <c r="E591" s="1879"/>
      <c r="F591" s="1879"/>
    </row>
    <row r="592" spans="1:7" s="718" customFormat="1">
      <c r="A592" s="704"/>
      <c r="B592" s="704"/>
      <c r="C592" s="704"/>
      <c r="D592" s="722"/>
      <c r="E592" s="721"/>
      <c r="F592" s="721"/>
      <c r="G592" s="7"/>
    </row>
    <row r="593" spans="1:7" s="39" customFormat="1" ht="13">
      <c r="A593" s="402"/>
      <c r="B593" s="678" t="s">
        <v>315</v>
      </c>
      <c r="C593" s="273"/>
      <c r="D593" s="1880" t="s">
        <v>1273</v>
      </c>
      <c r="E593" s="1880"/>
      <c r="F593" s="1880"/>
      <c r="G593" s="130"/>
    </row>
    <row r="594" spans="1:7">
      <c r="D594" s="1880"/>
      <c r="E594" s="1880"/>
      <c r="F594" s="1880"/>
    </row>
    <row r="595" spans="1:7">
      <c r="D595" s="1880"/>
      <c r="E595" s="1880"/>
      <c r="F595" s="1880"/>
    </row>
    <row r="596" spans="1:7"/>
    <row r="597" spans="1:7" ht="13">
      <c r="A597" s="1888" t="s">
        <v>1172</v>
      </c>
      <c r="B597" s="1888"/>
      <c r="C597" s="1888"/>
      <c r="D597" s="1888"/>
      <c r="E597" s="1888"/>
      <c r="F597" s="1888"/>
      <c r="G597" s="1888"/>
    </row>
    <row r="598" spans="1:7">
      <c r="A598" s="135"/>
      <c r="B598" s="135"/>
      <c r="G598" s="57"/>
    </row>
    <row r="599" spans="1:7" ht="13">
      <c r="A599" s="257"/>
      <c r="B599" s="673"/>
      <c r="C599" s="255"/>
      <c r="D599" s="1881" t="s">
        <v>1274</v>
      </c>
      <c r="E599" s="1881"/>
      <c r="F599" s="1881"/>
      <c r="G599" s="57"/>
    </row>
    <row r="600" spans="1:7" ht="13">
      <c r="A600" s="257"/>
      <c r="B600" s="673"/>
      <c r="C600" s="255"/>
      <c r="D600" s="1881"/>
      <c r="E600" s="1881"/>
      <c r="F600" s="1881"/>
      <c r="G600" s="57"/>
    </row>
    <row r="601" spans="1:7" ht="13">
      <c r="C601" s="260"/>
      <c r="D601" s="1879" t="s">
        <v>1275</v>
      </c>
      <c r="E601" s="1879"/>
      <c r="F601" s="1879"/>
      <c r="G601" s="57"/>
    </row>
    <row r="602" spans="1:7" s="718" customFormat="1" ht="13">
      <c r="A602" s="704"/>
      <c r="B602" s="704"/>
      <c r="C602" s="719"/>
      <c r="D602" s="723"/>
      <c r="E602" s="723"/>
      <c r="F602" s="723"/>
      <c r="G602" s="57"/>
    </row>
    <row r="603" spans="1:7" ht="13">
      <c r="A603" s="23"/>
      <c r="B603" s="678" t="s">
        <v>315</v>
      </c>
      <c r="D603" s="1879" t="s">
        <v>452</v>
      </c>
      <c r="E603" s="1879"/>
      <c r="F603" s="1879"/>
      <c r="G603" s="57"/>
    </row>
    <row r="604" spans="1:7" ht="13">
      <c r="C604" s="268"/>
      <c r="E604" s="12"/>
      <c r="G604" s="57"/>
    </row>
    <row r="605" spans="1:7" ht="13">
      <c r="A605" s="23"/>
      <c r="B605" s="678" t="s">
        <v>315</v>
      </c>
      <c r="D605" s="1882" t="s">
        <v>1276</v>
      </c>
      <c r="E605" s="1882"/>
      <c r="F605" s="1882"/>
      <c r="G605" s="57"/>
    </row>
    <row r="606" spans="1:7">
      <c r="D606" s="1882"/>
      <c r="E606" s="1882"/>
      <c r="F606" s="1882"/>
      <c r="G606" s="57"/>
    </row>
    <row r="607" spans="1:7">
      <c r="D607" s="12"/>
      <c r="G607" s="57"/>
    </row>
    <row r="608" spans="1:7">
      <c r="B608" s="678" t="s">
        <v>315</v>
      </c>
      <c r="D608" s="1882" t="s">
        <v>1277</v>
      </c>
      <c r="E608" s="1882"/>
      <c r="F608" s="1882"/>
      <c r="G608" s="57"/>
    </row>
    <row r="609" spans="1:7" ht="13">
      <c r="C609" s="268"/>
      <c r="D609" s="1882"/>
      <c r="E609" s="1882"/>
      <c r="F609" s="1882"/>
      <c r="G609" s="57"/>
    </row>
    <row r="610" spans="1:7" ht="13">
      <c r="C610" s="268"/>
      <c r="G610" s="57"/>
    </row>
    <row r="611" spans="1:7" ht="13">
      <c r="B611" s="678" t="s">
        <v>315</v>
      </c>
      <c r="C611" s="268"/>
      <c r="D611" s="1882" t="s">
        <v>1278</v>
      </c>
      <c r="E611" s="1882"/>
      <c r="F611" s="1882"/>
      <c r="G611" s="57"/>
    </row>
    <row r="612" spans="1:7" ht="13">
      <c r="C612" s="268"/>
      <c r="D612" s="1882"/>
      <c r="E612" s="1882"/>
      <c r="F612" s="1882"/>
      <c r="G612" s="57"/>
    </row>
    <row r="613" spans="1:7" ht="13">
      <c r="C613" s="268"/>
      <c r="G613" s="57"/>
    </row>
    <row r="614" spans="1:7" ht="13">
      <c r="A614" s="1888" t="s">
        <v>1173</v>
      </c>
      <c r="B614" s="1888"/>
      <c r="C614" s="1888"/>
      <c r="D614" s="1888"/>
      <c r="E614" s="1888"/>
      <c r="F614" s="1888"/>
      <c r="G614" s="1888"/>
    </row>
    <row r="615" spans="1:7" ht="13">
      <c r="A615" s="267"/>
      <c r="B615" s="267"/>
      <c r="C615" s="267"/>
      <c r="G615" s="57"/>
    </row>
    <row r="616" spans="1:7" ht="13">
      <c r="C616" s="23"/>
      <c r="D616" s="1878" t="s">
        <v>1279</v>
      </c>
      <c r="E616" s="1878"/>
      <c r="F616" s="1878"/>
      <c r="G616" s="57"/>
    </row>
    <row r="617" spans="1:7" ht="13">
      <c r="A617" s="23"/>
      <c r="B617" s="674"/>
      <c r="C617" s="265"/>
      <c r="D617" s="50"/>
      <c r="G617" s="57"/>
    </row>
    <row r="618" spans="1:7" ht="13">
      <c r="A618" s="261"/>
      <c r="B618" s="678" t="s">
        <v>315</v>
      </c>
      <c r="C618" s="265"/>
      <c r="D618" s="1923" t="s">
        <v>1280</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8" customFormat="1">
      <c r="A624" s="704"/>
      <c r="B624" s="704"/>
      <c r="C624" s="265"/>
      <c r="D624" s="724"/>
      <c r="E624" s="724"/>
      <c r="F624" s="724"/>
      <c r="G624" s="57"/>
    </row>
    <row r="625" spans="1:7" ht="13">
      <c r="A625" s="261"/>
      <c r="B625" s="678" t="s">
        <v>315</v>
      </c>
      <c r="C625" s="265"/>
      <c r="D625" s="1923" t="s">
        <v>1281</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3">
      <c r="A628" s="261"/>
      <c r="B628" s="678" t="s">
        <v>315</v>
      </c>
      <c r="C628" s="266"/>
      <c r="D628" s="1880" t="s">
        <v>1282</v>
      </c>
      <c r="E628" s="1880"/>
      <c r="F628" s="1880"/>
      <c r="G628" s="57"/>
    </row>
    <row r="629" spans="1:7" ht="13">
      <c r="A629" s="261"/>
      <c r="B629" s="261"/>
      <c r="C629" s="266"/>
      <c r="D629" s="1880"/>
      <c r="E629" s="1880"/>
      <c r="F629" s="1880"/>
      <c r="G629" s="57"/>
    </row>
    <row r="630" spans="1:7" ht="13">
      <c r="A630" s="261"/>
      <c r="B630" s="261"/>
      <c r="C630" s="266"/>
      <c r="D630" s="1880"/>
      <c r="E630" s="1880"/>
      <c r="F630" s="1880"/>
      <c r="G630" s="57"/>
    </row>
    <row r="631" spans="1:7">
      <c r="A631" s="266"/>
      <c r="B631" s="266"/>
      <c r="C631" s="266"/>
      <c r="D631" s="1880"/>
      <c r="E631" s="1880"/>
      <c r="F631" s="1880"/>
      <c r="G631" s="57"/>
    </row>
    <row r="632" spans="1:7" s="718" customFormat="1">
      <c r="A632" s="266"/>
      <c r="B632" s="266"/>
      <c r="C632" s="266"/>
      <c r="D632" s="725"/>
      <c r="E632" s="725"/>
      <c r="F632" s="725"/>
      <c r="G632" s="57"/>
    </row>
    <row r="633" spans="1:7">
      <c r="A633" s="266"/>
      <c r="B633" s="678" t="s">
        <v>315</v>
      </c>
      <c r="C633" s="266"/>
      <c r="D633" s="1928" t="s">
        <v>1283</v>
      </c>
      <c r="E633" s="1928"/>
      <c r="F633" s="1928"/>
      <c r="G633" s="57"/>
    </row>
    <row r="634" spans="1:7">
      <c r="A634" s="266"/>
      <c r="B634" s="266"/>
      <c r="C634" s="266"/>
      <c r="D634" s="726"/>
      <c r="E634" s="726"/>
      <c r="F634" s="726"/>
      <c r="G634" s="57"/>
    </row>
    <row r="635" spans="1:7" ht="13">
      <c r="A635" s="1888" t="s">
        <v>1174</v>
      </c>
      <c r="B635" s="1888"/>
      <c r="C635" s="1888"/>
      <c r="D635" s="1888"/>
      <c r="E635" s="1888"/>
      <c r="F635" s="1888"/>
      <c r="G635" s="1888"/>
    </row>
    <row r="636" spans="1:7">
      <c r="A636" s="135"/>
      <c r="B636" s="135"/>
      <c r="C636" s="266"/>
      <c r="D636" s="147"/>
      <c r="E636" s="147"/>
      <c r="F636" s="147"/>
      <c r="G636" s="57"/>
    </row>
    <row r="637" spans="1:7" ht="13">
      <c r="C637" s="267"/>
      <c r="D637" s="1929" t="s">
        <v>1333</v>
      </c>
      <c r="E637" s="1929"/>
      <c r="F637" s="1929"/>
      <c r="G637" s="57"/>
    </row>
    <row r="638" spans="1:7" ht="13">
      <c r="A638" s="260"/>
      <c r="B638" s="260"/>
      <c r="C638" s="260"/>
      <c r="D638" s="1930" t="s">
        <v>1334</v>
      </c>
      <c r="E638" s="1930"/>
      <c r="F638" s="1930"/>
      <c r="G638" s="57"/>
    </row>
    <row r="639" spans="1:7" s="718" customFormat="1" ht="13">
      <c r="A639" s="719"/>
      <c r="B639" s="719"/>
      <c r="C639" s="719"/>
      <c r="D639" s="733"/>
      <c r="E639" s="733"/>
      <c r="F639" s="733"/>
      <c r="G639" s="57"/>
    </row>
    <row r="640" spans="1:7" ht="14.5" customHeight="1">
      <c r="A640" s="261"/>
      <c r="B640" s="678" t="s">
        <v>315</v>
      </c>
      <c r="C640" s="266"/>
      <c r="D640" s="1876" t="s">
        <v>1335</v>
      </c>
      <c r="E640" s="1876"/>
      <c r="F640" s="1876"/>
      <c r="G640" s="57"/>
    </row>
    <row r="641" spans="1:11" ht="13">
      <c r="A641" s="261"/>
      <c r="B641" s="261"/>
      <c r="C641" s="266"/>
      <c r="D641" s="1876"/>
      <c r="E641" s="1876"/>
      <c r="F641" s="1876"/>
      <c r="G641" s="57"/>
    </row>
    <row r="642" spans="1:11" ht="13">
      <c r="A642" s="261"/>
      <c r="B642" s="261"/>
      <c r="C642" s="266"/>
      <c r="D642" s="1876"/>
      <c r="E642" s="1876"/>
      <c r="F642" s="1876"/>
      <c r="G642" s="57"/>
    </row>
    <row r="643" spans="1:11" ht="13">
      <c r="A643" s="261"/>
      <c r="B643" s="261"/>
      <c r="C643" s="266"/>
      <c r="D643" s="1876"/>
      <c r="E643" s="1876"/>
      <c r="F643" s="1876"/>
      <c r="G643" s="57"/>
    </row>
    <row r="644" spans="1:11" s="681" customFormat="1" ht="13">
      <c r="A644" s="261"/>
      <c r="B644" s="261"/>
      <c r="C644" s="266"/>
      <c r="D644" s="1876"/>
      <c r="E644" s="1876"/>
      <c r="F644" s="1876"/>
      <c r="G644" s="57"/>
    </row>
    <row r="645" spans="1:11" s="718" customFormat="1" ht="13">
      <c r="A645" s="713"/>
      <c r="B645" s="713"/>
      <c r="C645" s="266"/>
      <c r="D645" s="735"/>
      <c r="E645" s="735"/>
      <c r="F645" s="735"/>
      <c r="G645" s="57"/>
    </row>
    <row r="646" spans="1:11" s="681" customFormat="1" ht="13">
      <c r="A646" s="261"/>
      <c r="B646" s="678" t="s">
        <v>315</v>
      </c>
      <c r="C646" s="266"/>
      <c r="D646" s="1906" t="s">
        <v>1185</v>
      </c>
      <c r="E646" s="1906"/>
      <c r="F646" s="1906"/>
      <c r="G646" s="57"/>
    </row>
    <row r="647" spans="1:11" s="681" customFormat="1" ht="13">
      <c r="A647" s="261"/>
      <c r="B647" s="261"/>
      <c r="C647" s="266"/>
      <c r="D647" s="1907" t="s">
        <v>1336</v>
      </c>
      <c r="E647" s="1907"/>
      <c r="F647" s="1907"/>
      <c r="G647" s="57"/>
    </row>
    <row r="648" spans="1:11" s="681" customFormat="1" ht="13">
      <c r="A648" s="261"/>
      <c r="B648" s="261"/>
      <c r="C648" s="266"/>
      <c r="D648" s="1907"/>
      <c r="E648" s="1907"/>
      <c r="F648" s="1907"/>
      <c r="G648" s="57"/>
    </row>
    <row r="649" spans="1:11" s="681" customFormat="1" ht="13">
      <c r="A649" s="261"/>
      <c r="B649" s="261"/>
      <c r="C649" s="266"/>
      <c r="D649" s="1907"/>
      <c r="E649" s="1907"/>
      <c r="F649" s="1907"/>
      <c r="G649" s="57"/>
    </row>
    <row r="650" spans="1:11" s="681" customFormat="1" ht="13">
      <c r="A650" s="261"/>
      <c r="B650" s="261"/>
      <c r="C650" s="266"/>
      <c r="D650" s="1907"/>
      <c r="E650" s="1907"/>
      <c r="F650" s="1907"/>
      <c r="G650" s="57"/>
    </row>
    <row r="651" spans="1:11" s="681" customFormat="1" ht="13">
      <c r="A651" s="261"/>
      <c r="B651" s="261"/>
      <c r="C651" s="266"/>
      <c r="D651" s="1907"/>
      <c r="E651" s="1907"/>
      <c r="F651" s="1907"/>
      <c r="G651" s="57"/>
    </row>
    <row r="652" spans="1:11" s="681" customFormat="1" ht="13">
      <c r="A652" s="261"/>
      <c r="B652" s="261"/>
      <c r="C652" s="266"/>
      <c r="D652" s="1908" t="s">
        <v>1337</v>
      </c>
      <c r="E652" s="1908"/>
      <c r="F652" s="1908"/>
      <c r="G652" s="57"/>
    </row>
    <row r="653" spans="1:11">
      <c r="A653" s="266"/>
      <c r="B653" s="266"/>
      <c r="C653" s="266"/>
      <c r="D653" s="147"/>
      <c r="E653" s="147"/>
      <c r="F653" s="147"/>
      <c r="G653" s="57"/>
    </row>
    <row r="654" spans="1:11" ht="13">
      <c r="A654" s="1888" t="s">
        <v>1175</v>
      </c>
      <c r="B654" s="1888"/>
      <c r="C654" s="1888"/>
      <c r="D654" s="1888"/>
      <c r="E654" s="1888"/>
      <c r="F654" s="1888"/>
      <c r="G654" s="1888"/>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6" t="s">
        <v>104</v>
      </c>
      <c r="E656" s="1886"/>
      <c r="F656" s="1886"/>
      <c r="G656" s="57"/>
      <c r="H656" s="269"/>
      <c r="I656" s="269"/>
      <c r="J656" s="269"/>
      <c r="K656" s="269"/>
    </row>
    <row r="657" spans="1:11" ht="13">
      <c r="A657" s="267"/>
      <c r="B657" s="267"/>
      <c r="C657" s="267"/>
      <c r="D657" s="1886" t="s">
        <v>128</v>
      </c>
      <c r="E657" s="1886"/>
      <c r="F657" s="1886"/>
      <c r="G657" s="57"/>
      <c r="H657" s="269"/>
      <c r="I657" s="269"/>
      <c r="J657" s="269"/>
      <c r="K657" s="269"/>
    </row>
    <row r="658" spans="1:11" ht="13">
      <c r="A658" s="260"/>
      <c r="B658" s="260"/>
      <c r="C658" s="260"/>
      <c r="D658" s="1887" t="s">
        <v>1211</v>
      </c>
      <c r="E658" s="1887"/>
      <c r="F658" s="1887"/>
      <c r="G658" s="57"/>
      <c r="H658" s="269"/>
      <c r="I658" s="269"/>
      <c r="J658" s="269"/>
      <c r="K658" s="269"/>
    </row>
    <row r="659" spans="1:11" ht="13">
      <c r="A659" s="260"/>
      <c r="B659" s="260"/>
      <c r="C659" s="260"/>
      <c r="G659" s="57"/>
      <c r="H659" s="269"/>
      <c r="I659" s="269"/>
      <c r="J659" s="269"/>
      <c r="K659" s="269"/>
    </row>
    <row r="660" spans="1:11" ht="13">
      <c r="A660" s="261"/>
      <c r="B660" s="678" t="s">
        <v>315</v>
      </c>
      <c r="C660" s="260"/>
      <c r="D660" s="1887" t="s">
        <v>950</v>
      </c>
      <c r="E660" s="1887"/>
      <c r="F660" s="1887"/>
      <c r="G660" s="57"/>
      <c r="H660" s="269"/>
      <c r="I660" s="269"/>
      <c r="J660" s="269"/>
      <c r="K660" s="269"/>
    </row>
    <row r="661" spans="1:11" ht="13">
      <c r="A661" s="260"/>
      <c r="B661" s="260"/>
      <c r="C661" s="260"/>
      <c r="D661" s="1887" t="s">
        <v>961</v>
      </c>
      <c r="E661" s="1887"/>
      <c r="F661" s="1887"/>
      <c r="G661" s="57"/>
      <c r="H661" s="269"/>
      <c r="I661" s="269"/>
      <c r="J661" s="269"/>
      <c r="K661" s="269"/>
    </row>
    <row r="662" spans="1:11" ht="13">
      <c r="A662" s="260"/>
      <c r="B662" s="260"/>
      <c r="C662" s="260"/>
      <c r="D662" s="6"/>
      <c r="E662" s="1866" t="s">
        <v>1212</v>
      </c>
      <c r="F662" s="1866"/>
      <c r="G662" s="57"/>
      <c r="H662" s="269"/>
      <c r="I662" s="269"/>
      <c r="J662" s="269"/>
      <c r="K662" s="269"/>
    </row>
    <row r="663" spans="1:11" ht="13">
      <c r="A663" s="260"/>
      <c r="B663" s="260"/>
      <c r="C663" s="260"/>
      <c r="D663" s="6"/>
      <c r="E663" s="1866"/>
      <c r="F663" s="1866"/>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315</v>
      </c>
      <c r="C665" s="260"/>
      <c r="D665" s="1862" t="s">
        <v>1213</v>
      </c>
      <c r="E665" s="1862"/>
      <c r="F665" s="1862"/>
      <c r="G665" s="57"/>
      <c r="H665" s="269"/>
      <c r="I665" s="269"/>
      <c r="J665" s="269"/>
      <c r="K665" s="269"/>
    </row>
    <row r="666" spans="1:11" ht="13">
      <c r="A666" s="23"/>
      <c r="B666" s="674"/>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8" t="s">
        <v>315</v>
      </c>
      <c r="C669" s="260"/>
      <c r="D669" s="1887" t="s">
        <v>990</v>
      </c>
      <c r="E669" s="1887"/>
      <c r="F669" s="1887"/>
      <c r="G669" s="57"/>
      <c r="H669" s="269"/>
      <c r="I669" s="269"/>
      <c r="J669" s="269"/>
      <c r="K669" s="269"/>
    </row>
    <row r="670" spans="1:11" ht="13">
      <c r="A670" s="261"/>
      <c r="B670" s="261"/>
      <c r="C670" s="260"/>
      <c r="D670" s="1887" t="s">
        <v>961</v>
      </c>
      <c r="E670" s="1887"/>
      <c r="F670" s="1887"/>
      <c r="G670" s="57"/>
      <c r="H670" s="269"/>
      <c r="I670" s="269"/>
      <c r="J670" s="269"/>
      <c r="K670" s="269"/>
    </row>
    <row r="671" spans="1:11" ht="13">
      <c r="A671" s="260"/>
      <c r="B671" s="260"/>
      <c r="C671" s="260"/>
      <c r="D671" s="6"/>
      <c r="E671" s="1892" t="s">
        <v>1214</v>
      </c>
      <c r="F671" s="1892"/>
      <c r="G671" s="57"/>
      <c r="H671" s="269"/>
      <c r="I671" s="269"/>
      <c r="J671" s="269"/>
      <c r="K671" s="269"/>
    </row>
    <row r="672" spans="1:11" ht="13">
      <c r="A672" s="260"/>
      <c r="B672" s="260"/>
      <c r="C672" s="260"/>
      <c r="D672" s="50"/>
      <c r="G672" s="57"/>
      <c r="H672" s="269"/>
      <c r="I672" s="269"/>
      <c r="J672" s="269"/>
      <c r="K672" s="269"/>
    </row>
    <row r="673" spans="1:11" ht="13">
      <c r="A673" s="261"/>
      <c r="B673" s="678" t="s">
        <v>315</v>
      </c>
      <c r="C673" s="260"/>
      <c r="D673" s="1885" t="s">
        <v>1224</v>
      </c>
      <c r="E673" s="1885"/>
      <c r="F673" s="1885"/>
      <c r="G673" s="57"/>
      <c r="H673" s="269"/>
      <c r="I673" s="269"/>
      <c r="J673" s="269"/>
      <c r="K673" s="269"/>
    </row>
    <row r="674" spans="1:11" ht="13">
      <c r="A674" s="260"/>
      <c r="B674" s="260"/>
      <c r="C674" s="260"/>
      <c r="D674" s="1885"/>
      <c r="E674" s="1885"/>
      <c r="F674" s="1885"/>
      <c r="G674" s="57"/>
      <c r="H674" s="269"/>
      <c r="I674" s="269"/>
      <c r="J674" s="269"/>
      <c r="K674" s="269"/>
    </row>
    <row r="675" spans="1:11" ht="13">
      <c r="A675" s="260"/>
      <c r="B675" s="260"/>
      <c r="C675" s="260"/>
      <c r="D675" s="1885"/>
      <c r="E675" s="1885"/>
      <c r="F675" s="1885"/>
      <c r="G675" s="57"/>
      <c r="H675" s="269"/>
      <c r="I675" s="269"/>
      <c r="J675" s="269"/>
      <c r="K675" s="269"/>
    </row>
    <row r="676" spans="1:11" ht="13">
      <c r="A676" s="260"/>
      <c r="B676" s="260"/>
      <c r="C676" s="260"/>
      <c r="D676" s="1885"/>
      <c r="E676" s="1885"/>
      <c r="F676" s="1885"/>
      <c r="G676" s="57"/>
      <c r="H676" s="269"/>
      <c r="I676" s="269"/>
      <c r="J676" s="269"/>
      <c r="K676" s="269"/>
    </row>
    <row r="677" spans="1:11" ht="13">
      <c r="A677" s="260"/>
      <c r="B677" s="260"/>
      <c r="C677" s="260"/>
      <c r="D677" s="1885"/>
      <c r="E677" s="1885"/>
      <c r="F677" s="1885"/>
      <c r="G677" s="57"/>
      <c r="H677" s="269"/>
      <c r="I677" s="269"/>
      <c r="J677" s="269"/>
      <c r="K677" s="269"/>
    </row>
    <row r="678" spans="1:11" s="39" customFormat="1" ht="13">
      <c r="A678" s="486"/>
      <c r="B678" s="486"/>
      <c r="C678" s="486"/>
      <c r="D678" s="1885"/>
      <c r="E678" s="1885"/>
      <c r="F678" s="1885"/>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315</v>
      </c>
      <c r="C680" s="260"/>
      <c r="D680" s="1885" t="s">
        <v>1215</v>
      </c>
      <c r="E680" s="1885"/>
      <c r="F680" s="1885"/>
      <c r="G680" s="57"/>
      <c r="H680" s="269"/>
      <c r="I680" s="269"/>
      <c r="J680" s="269"/>
      <c r="K680" s="269"/>
    </row>
    <row r="681" spans="1:11" ht="13">
      <c r="A681" s="260"/>
      <c r="B681" s="260"/>
      <c r="C681" s="260"/>
      <c r="D681" s="1885"/>
      <c r="E681" s="1885"/>
      <c r="F681" s="1885"/>
      <c r="G681" s="57"/>
      <c r="H681" s="269"/>
      <c r="I681" s="269"/>
      <c r="J681" s="269"/>
      <c r="K681" s="269"/>
    </row>
    <row r="682" spans="1:11" ht="13">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
      <c r="A685" s="260"/>
      <c r="B685" s="260"/>
      <c r="C685" s="260"/>
      <c r="D685" s="1885"/>
      <c r="E685" s="1885"/>
      <c r="F685" s="1885"/>
      <c r="G685" s="57"/>
      <c r="H685" s="269"/>
      <c r="I685" s="269"/>
      <c r="J685" s="269"/>
      <c r="K685" s="269"/>
    </row>
    <row r="686" spans="1:11" ht="13">
      <c r="A686" s="260"/>
      <c r="B686" s="260"/>
      <c r="C686" s="260"/>
      <c r="D686" s="1885"/>
      <c r="E686" s="1885"/>
      <c r="F686" s="1885"/>
      <c r="G686" s="57"/>
      <c r="H686" s="269"/>
      <c r="I686" s="269"/>
      <c r="J686" s="269"/>
      <c r="K686" s="269"/>
    </row>
    <row r="687" spans="1:11" ht="13">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
      <c r="A689" s="260"/>
      <c r="B689" s="260"/>
      <c r="C689" s="260"/>
      <c r="D689" s="1885"/>
      <c r="E689" s="1885"/>
      <c r="F689" s="1885"/>
      <c r="G689" s="57"/>
      <c r="H689" s="269"/>
      <c r="I689" s="269"/>
      <c r="J689" s="269"/>
      <c r="K689" s="269"/>
    </row>
    <row r="690" spans="1:11" ht="13">
      <c r="A690" s="260"/>
      <c r="B690" s="260"/>
      <c r="C690" s="260"/>
      <c r="D690" s="1885"/>
      <c r="E690" s="1885"/>
      <c r="F690" s="1885"/>
      <c r="G690" s="57"/>
      <c r="H690" s="269"/>
      <c r="I690" s="269"/>
      <c r="J690" s="269"/>
      <c r="K690" s="269"/>
    </row>
    <row r="691" spans="1:11" ht="13">
      <c r="A691" s="260"/>
      <c r="B691" s="260"/>
      <c r="C691" s="260"/>
      <c r="D691" s="1885"/>
      <c r="E691" s="1885"/>
      <c r="F691" s="1885"/>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315</v>
      </c>
      <c r="C693" s="260"/>
      <c r="D693" s="1885" t="s">
        <v>1225</v>
      </c>
      <c r="E693" s="1885"/>
      <c r="F693" s="1885"/>
      <c r="G693" s="57"/>
      <c r="H693" s="269"/>
      <c r="I693" s="269"/>
      <c r="J693" s="269"/>
      <c r="K693" s="269"/>
    </row>
    <row r="694" spans="1:11" ht="13">
      <c r="A694" s="260"/>
      <c r="B694" s="260"/>
      <c r="C694" s="260"/>
      <c r="D694" s="1885"/>
      <c r="E694" s="1885"/>
      <c r="F694" s="1885"/>
      <c r="G694" s="57"/>
      <c r="H694" s="269"/>
      <c r="I694" s="269"/>
      <c r="J694" s="269"/>
      <c r="K694" s="269"/>
    </row>
    <row r="695" spans="1:11" ht="13">
      <c r="A695" s="260"/>
      <c r="B695" s="260"/>
      <c r="C695" s="260"/>
      <c r="D695" s="1885"/>
      <c r="E695" s="1885"/>
      <c r="F695" s="1885"/>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315</v>
      </c>
      <c r="C697" s="260"/>
      <c r="D697" s="1885" t="s">
        <v>1222</v>
      </c>
      <c r="E697" s="1885"/>
      <c r="F697" s="1885"/>
      <c r="G697" s="57"/>
      <c r="H697" s="269"/>
      <c r="I697" s="269"/>
      <c r="J697" s="269"/>
      <c r="K697" s="269"/>
    </row>
    <row r="698" spans="1:11" s="681" customFormat="1" ht="13">
      <c r="A698" s="260"/>
      <c r="B698" s="260"/>
      <c r="C698" s="260"/>
      <c r="D698" s="1885"/>
      <c r="E698" s="1885"/>
      <c r="F698" s="1885"/>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315</v>
      </c>
      <c r="C700" s="260"/>
      <c r="D700" s="1885" t="s">
        <v>1223</v>
      </c>
      <c r="E700" s="1885"/>
      <c r="F700" s="1885"/>
      <c r="G700" s="57"/>
      <c r="H700" s="269"/>
      <c r="I700" s="269"/>
      <c r="J700" s="269"/>
      <c r="K700" s="269"/>
    </row>
    <row r="701" spans="1:11" s="681" customFormat="1" ht="13">
      <c r="A701" s="260"/>
      <c r="B701" s="260"/>
      <c r="C701" s="260"/>
      <c r="D701" s="1885"/>
      <c r="E701" s="1885"/>
      <c r="F701" s="1885"/>
      <c r="G701" s="57"/>
      <c r="H701" s="269"/>
      <c r="I701" s="269"/>
      <c r="J701" s="269"/>
      <c r="K701" s="269"/>
    </row>
    <row r="702" spans="1:11" s="681" customFormat="1" ht="13">
      <c r="A702" s="260"/>
      <c r="B702" s="260"/>
      <c r="C702" s="260"/>
      <c r="D702" s="1885"/>
      <c r="E702" s="1885"/>
      <c r="F702" s="1885"/>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315</v>
      </c>
      <c r="C704" s="260"/>
      <c r="D704" s="1885" t="s">
        <v>1216</v>
      </c>
      <c r="E704" s="1885"/>
      <c r="F704" s="1885"/>
      <c r="G704" s="57"/>
      <c r="H704" s="269"/>
      <c r="I704" s="269"/>
      <c r="J704" s="269"/>
      <c r="K704" s="269"/>
    </row>
    <row r="705" spans="1:11" ht="13">
      <c r="A705" s="260"/>
      <c r="B705" s="260"/>
      <c r="C705" s="260"/>
      <c r="D705" s="1885"/>
      <c r="E705" s="1885"/>
      <c r="F705" s="1885"/>
      <c r="G705" s="57"/>
      <c r="H705" s="269"/>
      <c r="I705" s="269"/>
      <c r="J705" s="269"/>
      <c r="K705" s="269"/>
    </row>
    <row r="706" spans="1:11" ht="13">
      <c r="A706" s="260"/>
      <c r="B706" s="260"/>
      <c r="C706" s="260"/>
      <c r="D706" s="1885"/>
      <c r="E706" s="1885"/>
      <c r="F706" s="1885"/>
      <c r="G706" s="57"/>
      <c r="H706" s="269"/>
      <c r="I706" s="269"/>
      <c r="J706" s="269"/>
      <c r="K706" s="269"/>
    </row>
    <row r="707" spans="1:11" ht="13">
      <c r="A707" s="260"/>
      <c r="B707" s="260"/>
      <c r="C707" s="260"/>
      <c r="D707" s="130"/>
      <c r="G707" s="57"/>
      <c r="H707" s="269"/>
      <c r="I707" s="269"/>
      <c r="J707" s="269"/>
      <c r="K707" s="269"/>
    </row>
    <row r="708" spans="1:11" ht="13">
      <c r="A708" s="260"/>
      <c r="B708" s="678" t="s">
        <v>315</v>
      </c>
      <c r="C708" s="260"/>
      <c r="D708" s="1885" t="s">
        <v>1217</v>
      </c>
      <c r="E708" s="1885"/>
      <c r="F708" s="1885"/>
      <c r="G708" s="57"/>
      <c r="H708" s="269"/>
      <c r="I708" s="269"/>
      <c r="J708" s="269"/>
      <c r="K708" s="269"/>
    </row>
    <row r="709" spans="1:11" ht="13">
      <c r="A709" s="260"/>
      <c r="B709" s="260"/>
      <c r="C709" s="260"/>
      <c r="D709" s="1885"/>
      <c r="E709" s="1885"/>
      <c r="F709" s="1885"/>
      <c r="G709" s="57"/>
      <c r="H709" s="269"/>
      <c r="I709" s="269"/>
      <c r="J709" s="269"/>
      <c r="K709" s="269"/>
    </row>
    <row r="710" spans="1:11" ht="13">
      <c r="A710" s="260"/>
      <c r="B710" s="260"/>
      <c r="C710" s="260"/>
      <c r="D710" s="1885"/>
      <c r="E710" s="1885"/>
      <c r="F710" s="1885"/>
      <c r="G710" s="57"/>
      <c r="H710" s="269"/>
      <c r="I710" s="269"/>
      <c r="J710" s="269"/>
      <c r="K710" s="269"/>
    </row>
    <row r="711" spans="1:11" ht="13">
      <c r="A711" s="260"/>
      <c r="B711" s="260"/>
      <c r="C711" s="260"/>
      <c r="D711" s="12"/>
      <c r="G711" s="57"/>
      <c r="H711" s="269"/>
      <c r="I711" s="269"/>
      <c r="J711" s="269"/>
      <c r="K711" s="269"/>
    </row>
    <row r="712" spans="1:11" ht="13">
      <c r="A712" s="261"/>
      <c r="B712" s="678" t="s">
        <v>315</v>
      </c>
      <c r="C712" s="260"/>
      <c r="D712" s="1862" t="s">
        <v>1218</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8" t="s">
        <v>315</v>
      </c>
      <c r="C717" s="260"/>
      <c r="D717" s="1885" t="s">
        <v>1351</v>
      </c>
      <c r="E717" s="1885"/>
      <c r="F717" s="1885"/>
      <c r="G717" s="57"/>
      <c r="H717" s="269"/>
      <c r="I717" s="269"/>
      <c r="J717" s="269"/>
      <c r="K717" s="269"/>
    </row>
    <row r="718" spans="1:11" ht="13">
      <c r="A718" s="260"/>
      <c r="B718" s="260"/>
      <c r="C718" s="260"/>
      <c r="D718" s="1885"/>
      <c r="E718" s="1885"/>
      <c r="F718" s="1885"/>
      <c r="G718" s="57"/>
      <c r="H718" s="269"/>
      <c r="I718" s="269"/>
      <c r="J718" s="269"/>
      <c r="K718" s="269"/>
    </row>
    <row r="719" spans="1:11" ht="13">
      <c r="A719" s="260"/>
      <c r="B719" s="260"/>
      <c r="C719" s="260"/>
      <c r="D719" s="1885"/>
      <c r="E719" s="1885"/>
      <c r="F719" s="1885"/>
      <c r="G719" s="57"/>
      <c r="H719" s="269"/>
      <c r="I719" s="269"/>
      <c r="J719" s="269"/>
      <c r="K719" s="269"/>
    </row>
    <row r="720" spans="1:11" ht="13">
      <c r="A720" s="260"/>
      <c r="B720" s="260"/>
      <c r="C720" s="260"/>
      <c r="D720" s="1885"/>
      <c r="E720" s="1885"/>
      <c r="F720" s="1885"/>
      <c r="G720" s="57"/>
      <c r="H720" s="269"/>
      <c r="I720" s="269"/>
      <c r="J720" s="269"/>
      <c r="K720" s="269"/>
    </row>
    <row r="721" spans="1:11" ht="13">
      <c r="A721" s="260"/>
      <c r="B721" s="260"/>
      <c r="C721" s="260"/>
      <c r="D721" s="1885"/>
      <c r="E721" s="1885"/>
      <c r="F721" s="1885"/>
      <c r="G721" s="57"/>
      <c r="H721" s="269"/>
      <c r="I721" s="269"/>
      <c r="J721" s="269"/>
      <c r="K721" s="269"/>
    </row>
    <row r="722" spans="1:11" ht="13">
      <c r="A722" s="260"/>
      <c r="B722" s="260"/>
      <c r="C722" s="260"/>
      <c r="D722" s="1885"/>
      <c r="E722" s="1885"/>
      <c r="F722" s="1885"/>
      <c r="G722" s="57"/>
      <c r="H722" s="269"/>
      <c r="I722" s="269"/>
      <c r="J722" s="269"/>
      <c r="K722" s="269"/>
    </row>
    <row r="723" spans="1:11" ht="13">
      <c r="A723" s="260"/>
      <c r="B723" s="260"/>
      <c r="C723" s="260"/>
      <c r="D723" s="1885"/>
      <c r="E723" s="1885"/>
      <c r="F723" s="1885"/>
      <c r="G723" s="57"/>
      <c r="H723" s="269"/>
      <c r="I723" s="269"/>
      <c r="J723" s="269"/>
      <c r="K723" s="269"/>
    </row>
    <row r="724" spans="1:11" ht="13">
      <c r="A724" s="260"/>
      <c r="B724" s="260"/>
      <c r="C724" s="260"/>
      <c r="D724" s="1896" t="s">
        <v>1219</v>
      </c>
      <c r="E724" s="1896"/>
      <c r="F724" s="1896"/>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889" t="s">
        <v>1176</v>
      </c>
      <c r="B726" s="1889"/>
      <c r="C726" s="1889"/>
      <c r="D726" s="1889"/>
      <c r="E726" s="1889"/>
      <c r="F726" s="1889"/>
      <c r="G726" s="1889"/>
      <c r="H726" s="269"/>
      <c r="I726" s="269"/>
      <c r="J726" s="269"/>
      <c r="K726" s="269"/>
    </row>
    <row r="727" spans="1:11" ht="13">
      <c r="A727" s="260"/>
      <c r="B727" s="260"/>
      <c r="C727" s="260"/>
      <c r="D727" s="263"/>
      <c r="G727" s="271"/>
      <c r="H727" s="269"/>
      <c r="I727" s="269"/>
      <c r="J727" s="269"/>
      <c r="K727" s="269"/>
    </row>
    <row r="728" spans="1:11" ht="13.25" customHeight="1">
      <c r="C728" s="260"/>
      <c r="D728" s="1904" t="s">
        <v>1192</v>
      </c>
      <c r="E728" s="1904"/>
      <c r="F728" s="1904"/>
      <c r="G728" s="271"/>
      <c r="H728" s="269"/>
      <c r="I728" s="269"/>
      <c r="J728" s="269"/>
      <c r="K728" s="269"/>
    </row>
    <row r="729" spans="1:11" ht="13">
      <c r="A729" s="260"/>
      <c r="B729" s="260"/>
      <c r="C729" s="260"/>
      <c r="D729" s="1891" t="s">
        <v>1193</v>
      </c>
      <c r="E729" s="1891"/>
      <c r="F729" s="1891"/>
      <c r="G729" s="271"/>
      <c r="H729" s="269"/>
      <c r="I729" s="269"/>
      <c r="J729" s="269"/>
      <c r="K729" s="269"/>
    </row>
    <row r="730" spans="1:11" ht="13">
      <c r="A730" s="260"/>
      <c r="B730" s="260"/>
      <c r="C730" s="260"/>
      <c r="G730" s="271"/>
      <c r="H730" s="269"/>
      <c r="I730" s="269"/>
      <c r="J730" s="269"/>
      <c r="K730" s="269"/>
    </row>
    <row r="731" spans="1:11" s="39" customFormat="1" ht="13">
      <c r="A731" s="261"/>
      <c r="B731" s="678" t="s">
        <v>315</v>
      </c>
      <c r="C731" s="132"/>
      <c r="D731" s="1862" t="s">
        <v>1194</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7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315</v>
      </c>
      <c r="C738" s="407"/>
      <c r="D738" s="1864" t="s">
        <v>1195</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7"/>
      <c r="E742" s="311"/>
      <c r="F742" s="311"/>
      <c r="G742" s="311"/>
    </row>
    <row r="743" spans="1:11" s="408" customFormat="1" ht="13">
      <c r="A743" s="261"/>
      <c r="B743" s="678" t="s">
        <v>315</v>
      </c>
      <c r="C743" s="407"/>
      <c r="D743" s="1905" t="s">
        <v>1196</v>
      </c>
      <c r="E743" s="1905"/>
      <c r="F743" s="1905"/>
      <c r="G743" s="311"/>
    </row>
    <row r="744" spans="1:11" s="408" customFormat="1">
      <c r="A744" s="407"/>
      <c r="B744" s="407"/>
      <c r="C744" s="407"/>
      <c r="D744" s="1905"/>
      <c r="E744" s="1905"/>
      <c r="F744" s="1905"/>
      <c r="G744" s="311"/>
    </row>
    <row r="745" spans="1:11" s="408" customFormat="1">
      <c r="A745" s="407"/>
      <c r="B745" s="407"/>
      <c r="C745" s="407"/>
      <c r="D745" s="1905"/>
      <c r="E745" s="1905"/>
      <c r="F745" s="1905"/>
      <c r="G745" s="311"/>
    </row>
    <row r="746" spans="1:11">
      <c r="A746" s="273"/>
      <c r="B746" s="273"/>
      <c r="C746" s="273"/>
      <c r="D746" s="377"/>
      <c r="E746" s="274"/>
      <c r="F746" s="274"/>
      <c r="G746" s="275"/>
      <c r="H746" s="269"/>
      <c r="I746" s="269"/>
      <c r="J746" s="269"/>
      <c r="K746" s="269"/>
    </row>
    <row r="747" spans="1:11" ht="13">
      <c r="A747" s="261"/>
      <c r="B747" s="678" t="s">
        <v>315</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315</v>
      </c>
      <c r="C750" s="273"/>
      <c r="D750" s="1864" t="s">
        <v>1198</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899" t="s">
        <v>1199</v>
      </c>
      <c r="B754" s="1899"/>
      <c r="C754" s="1899"/>
      <c r="D754" s="1899"/>
      <c r="E754" s="1899"/>
      <c r="F754" s="1899"/>
      <c r="G754" s="1899"/>
    </row>
    <row r="755" spans="1:11" ht="13">
      <c r="A755" s="260"/>
      <c r="B755" s="260"/>
      <c r="C755" s="260"/>
      <c r="D755" s="276"/>
      <c r="F755" s="147"/>
      <c r="G755" s="271"/>
    </row>
    <row r="756" spans="1:11" ht="13">
      <c r="A756" s="273"/>
      <c r="B756" s="273"/>
      <c r="C756" s="441"/>
      <c r="D756" s="1900" t="s">
        <v>1183</v>
      </c>
      <c r="E756" s="1900"/>
      <c r="F756" s="1900"/>
      <c r="G756" s="271"/>
    </row>
    <row r="757" spans="1:11">
      <c r="A757" s="502"/>
      <c r="B757" s="502"/>
      <c r="C757" s="501"/>
      <c r="D757" s="1901" t="s">
        <v>1200</v>
      </c>
      <c r="E757" s="1901"/>
      <c r="F757" s="1901"/>
      <c r="G757" s="271"/>
    </row>
    <row r="758" spans="1:11">
      <c r="A758" s="273"/>
      <c r="B758" s="273"/>
      <c r="C758" s="441"/>
      <c r="D758" s="692"/>
      <c r="E758" s="692"/>
      <c r="F758" s="692"/>
      <c r="G758" s="271"/>
    </row>
    <row r="759" spans="1:11" ht="13">
      <c r="A759" s="261"/>
      <c r="B759" s="678" t="s">
        <v>315</v>
      </c>
      <c r="C759" s="441"/>
      <c r="D759" s="1902" t="s">
        <v>1068</v>
      </c>
      <c r="E759" s="1902"/>
      <c r="F759" s="1902"/>
      <c r="G759" s="271"/>
    </row>
    <row r="760" spans="1:11" ht="13">
      <c r="A760" s="273"/>
      <c r="B760" s="273"/>
      <c r="C760" s="441"/>
      <c r="D760" s="691"/>
      <c r="E760" s="1903" t="s">
        <v>1184</v>
      </c>
      <c r="F760" s="1903"/>
      <c r="G760" s="271"/>
    </row>
    <row r="761" spans="1:11" ht="13">
      <c r="A761" s="267"/>
      <c r="B761" s="267"/>
      <c r="C761" s="267"/>
      <c r="D761" s="135"/>
      <c r="F761" s="57"/>
      <c r="G761" s="271"/>
    </row>
    <row r="762" spans="1:11" ht="13">
      <c r="A762" s="1897" t="s">
        <v>470</v>
      </c>
      <c r="B762" s="1897"/>
      <c r="C762" s="1897"/>
      <c r="D762" s="1897"/>
      <c r="E762" s="1897"/>
      <c r="F762" s="1897"/>
      <c r="G762" s="1897"/>
    </row>
    <row r="763" spans="1:11" ht="13">
      <c r="A763" s="255"/>
      <c r="B763" s="672"/>
      <c r="C763" s="266"/>
      <c r="D763" s="271"/>
      <c r="E763" s="271"/>
      <c r="F763" s="271"/>
      <c r="G763" s="271"/>
    </row>
    <row r="764" spans="1:11">
      <c r="A764" s="135"/>
      <c r="B764" s="1898" t="s">
        <v>1067</v>
      </c>
      <c r="C764" s="1898"/>
      <c r="D764" s="1898"/>
      <c r="E764" s="1898"/>
      <c r="F764" s="1898"/>
      <c r="G764" s="271"/>
    </row>
    <row r="765" spans="1:11" ht="13">
      <c r="A765" s="23"/>
      <c r="B765" s="674"/>
      <c r="G765" s="271"/>
    </row>
    <row r="766" spans="1:11" ht="13">
      <c r="A766" s="1897" t="s">
        <v>471</v>
      </c>
      <c r="B766" s="1897"/>
      <c r="C766" s="1897"/>
      <c r="D766" s="1897"/>
      <c r="E766" s="1897"/>
      <c r="F766" s="1897"/>
      <c r="G766" s="1897"/>
    </row>
    <row r="767" spans="1:11" ht="13">
      <c r="A767" s="255"/>
      <c r="B767" s="672"/>
      <c r="C767" s="255"/>
      <c r="D767" s="263"/>
      <c r="G767" s="271"/>
    </row>
    <row r="768" spans="1:11">
      <c r="A768" s="135"/>
      <c r="B768" s="1894" t="s">
        <v>469</v>
      </c>
      <c r="C768" s="1894"/>
      <c r="D768" s="1894"/>
      <c r="E768" s="1894"/>
      <c r="F768" s="1894"/>
      <c r="G768" s="271"/>
    </row>
    <row r="769" spans="1:7" ht="13">
      <c r="A769" s="261"/>
      <c r="B769" s="261"/>
      <c r="D769" s="135"/>
      <c r="E769" s="135"/>
      <c r="F769" s="271"/>
      <c r="G769" s="271"/>
    </row>
    <row r="770" spans="1:7" ht="13">
      <c r="A770" s="1897" t="s">
        <v>472</v>
      </c>
      <c r="B770" s="1897"/>
      <c r="C770" s="1897"/>
      <c r="D770" s="1897"/>
      <c r="E770" s="1897"/>
      <c r="F770" s="1897"/>
      <c r="G770" s="1897"/>
    </row>
    <row r="771" spans="1:7" ht="13">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ht="13">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ht="13">
      <c r="A777" s="266"/>
      <c r="B777" s="266"/>
      <c r="C777" s="266"/>
      <c r="D777" s="258"/>
      <c r="F777" s="271"/>
    </row>
    <row r="778" spans="1:7" ht="13">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ht="13">
      <c r="A781" s="266"/>
      <c r="B781" s="266"/>
      <c r="C781" s="266"/>
      <c r="D781" s="258"/>
      <c r="F781" s="271"/>
    </row>
    <row r="782" spans="1:7" ht="13">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ht="13">
      <c r="A785" s="265"/>
      <c r="B785" s="265"/>
      <c r="C785" s="265"/>
      <c r="D785" s="277"/>
      <c r="E785" s="57"/>
      <c r="F785" s="57"/>
      <c r="G785" s="57"/>
    </row>
    <row r="786" spans="1:7" ht="13">
      <c r="A786" s="1897" t="s">
        <v>191</v>
      </c>
      <c r="B786" s="1897"/>
      <c r="C786" s="1897"/>
      <c r="D786" s="1897"/>
      <c r="E786" s="1897"/>
      <c r="F786" s="1897"/>
      <c r="G786" s="1897"/>
    </row>
    <row r="787" spans="1:7">
      <c r="A787" s="135"/>
      <c r="B787" s="135"/>
    </row>
    <row r="788" spans="1:7">
      <c r="A788" s="135"/>
      <c r="B788" s="1894" t="s">
        <v>469</v>
      </c>
      <c r="C788" s="1894"/>
      <c r="D788" s="1894"/>
      <c r="E788" s="1894"/>
      <c r="F788" s="1894"/>
    </row>
    <row r="789" spans="1:7" ht="13">
      <c r="A789" s="135"/>
      <c r="B789" s="135"/>
      <c r="D789" s="258"/>
    </row>
    <row r="790" spans="1:7" ht="13">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6328125" style="721" customWidth="1"/>
    <col min="11" max="16384" width="8.81640625" style="721" hidden="1"/>
  </cols>
  <sheetData>
    <row r="1" spans="1:10" ht="14.25" customHeight="1"/>
    <row r="2" spans="1:10" ht="15.5">
      <c r="A2" s="1944" t="s">
        <v>2398</v>
      </c>
      <c r="B2" s="1945"/>
      <c r="C2" s="1945"/>
      <c r="D2" s="1945"/>
      <c r="E2" s="1945"/>
      <c r="F2" s="1945"/>
      <c r="G2" s="1945"/>
      <c r="H2" s="1945"/>
      <c r="I2" s="1945"/>
      <c r="J2" s="1945"/>
    </row>
    <row r="3" spans="1:10" ht="15.5">
      <c r="A3" s="1949" t="s">
        <v>1498</v>
      </c>
      <c r="B3" s="1950"/>
      <c r="C3" s="1950"/>
      <c r="D3" s="1950"/>
      <c r="E3" s="1950"/>
      <c r="F3" s="1950"/>
      <c r="G3" s="1950"/>
      <c r="H3" s="1950"/>
      <c r="I3" s="1950"/>
      <c r="J3" s="1950"/>
    </row>
    <row r="4" spans="1:10"/>
    <row r="5" spans="1:10" ht="12.75" customHeight="1">
      <c r="A5" s="1946" t="s">
        <v>2401</v>
      </c>
      <c r="B5" s="1946"/>
      <c r="C5" s="1946"/>
      <c r="D5" s="1946"/>
      <c r="E5" s="1946"/>
      <c r="F5" s="1946"/>
      <c r="G5" s="1946"/>
      <c r="H5" s="1946"/>
      <c r="I5" s="1946"/>
      <c r="J5" s="1946"/>
    </row>
    <row r="6" spans="1:10">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c r="A8" s="771"/>
      <c r="B8" s="771"/>
      <c r="C8" s="771"/>
      <c r="D8" s="771"/>
      <c r="E8" s="771"/>
      <c r="F8" s="771"/>
      <c r="G8" s="771"/>
      <c r="H8" s="771"/>
      <c r="I8" s="771"/>
      <c r="J8" s="771"/>
    </row>
    <row r="9" spans="1:10" ht="12.75" customHeight="1">
      <c r="A9" s="1829" t="s">
        <v>2402</v>
      </c>
      <c r="B9" s="1828"/>
      <c r="C9" s="1828"/>
      <c r="D9" s="1828"/>
      <c r="E9" s="1828"/>
      <c r="F9" s="1828"/>
      <c r="G9" s="1828"/>
      <c r="H9" s="1828"/>
      <c r="I9" s="1828"/>
      <c r="J9" s="1828"/>
    </row>
    <row r="10" spans="1:10"/>
    <row r="11" spans="1:10" ht="12.75" customHeight="1">
      <c r="A11" s="1951" t="s">
        <v>2404</v>
      </c>
      <c r="B11" s="1951"/>
      <c r="C11" s="1951"/>
      <c r="D11" s="1951"/>
      <c r="E11" s="1951"/>
      <c r="F11" s="1951"/>
      <c r="G11" s="1951"/>
      <c r="H11" s="1951"/>
      <c r="I11" s="1951"/>
      <c r="J11" s="1951"/>
    </row>
    <row r="12" spans="1:10">
      <c r="A12" s="1951"/>
      <c r="B12" s="1951"/>
      <c r="C12" s="1951"/>
      <c r="D12" s="1951"/>
      <c r="E12" s="1951"/>
      <c r="F12" s="1951"/>
      <c r="G12" s="1951"/>
      <c r="H12" s="1951"/>
      <c r="I12" s="1951"/>
      <c r="J12" s="1951"/>
    </row>
    <row r="13" spans="1:10" s="1768" customFormat="1">
      <c r="A13" s="1951"/>
      <c r="B13" s="1951"/>
      <c r="C13" s="1951"/>
      <c r="D13" s="1951"/>
      <c r="E13" s="1951"/>
      <c r="F13" s="1951"/>
      <c r="G13" s="1951"/>
      <c r="H13" s="1951"/>
      <c r="I13" s="1951"/>
      <c r="J13" s="1951"/>
    </row>
    <row r="14" spans="1:10">
      <c r="A14" s="1952"/>
      <c r="B14" s="1952"/>
      <c r="C14" s="1952"/>
      <c r="D14" s="1952"/>
      <c r="E14" s="1952"/>
      <c r="F14" s="1952"/>
      <c r="G14" s="1952"/>
      <c r="H14" s="1952"/>
      <c r="I14" s="1952"/>
      <c r="J14" s="1952"/>
    </row>
    <row r="15" spans="1:10">
      <c r="A15" s="1952"/>
      <c r="B15" s="1952"/>
      <c r="C15" s="1952"/>
      <c r="D15" s="1952"/>
      <c r="E15" s="1952"/>
      <c r="F15" s="1952"/>
      <c r="G15" s="1952"/>
      <c r="H15" s="1952"/>
      <c r="I15" s="1952"/>
      <c r="J15" s="1952"/>
    </row>
    <row r="16" spans="1:10">
      <c r="A16" s="1952"/>
      <c r="B16" s="1952"/>
      <c r="C16" s="1952"/>
      <c r="D16" s="1952"/>
      <c r="E16" s="1952"/>
      <c r="F16" s="1952"/>
      <c r="G16" s="1952"/>
      <c r="H16" s="1952"/>
      <c r="I16" s="1952"/>
      <c r="J16" s="1952"/>
    </row>
    <row r="17" spans="1:10" s="1768" customFormat="1">
      <c r="A17" s="1831"/>
      <c r="B17" s="1831"/>
      <c r="C17" s="1831"/>
      <c r="D17" s="1831"/>
      <c r="E17" s="1831"/>
      <c r="F17" s="1831"/>
      <c r="G17" s="1831"/>
      <c r="H17" s="1831"/>
      <c r="I17" s="1831"/>
      <c r="J17" s="1831"/>
    </row>
    <row r="18" spans="1:10">
      <c r="A18" s="772" t="s">
        <v>2403</v>
      </c>
      <c r="B18" s="771"/>
      <c r="C18" s="771"/>
      <c r="D18" s="771"/>
      <c r="E18" s="771"/>
      <c r="F18" s="771"/>
      <c r="G18" s="771"/>
      <c r="H18" s="771"/>
      <c r="I18" s="771"/>
      <c r="J18" s="771"/>
    </row>
    <row r="19" spans="1:10">
      <c r="A19" s="773" t="s">
        <v>255</v>
      </c>
      <c r="B19" s="773"/>
      <c r="C19" s="773"/>
      <c r="D19" s="773"/>
      <c r="E19" s="773"/>
      <c r="F19" s="773"/>
      <c r="G19" s="773"/>
      <c r="H19" s="773"/>
      <c r="I19" s="773"/>
      <c r="J19" s="773"/>
    </row>
    <row r="20" spans="1:10">
      <c r="A20" s="1953" t="s">
        <v>1389</v>
      </c>
      <c r="B20" s="1950"/>
      <c r="C20" s="1950"/>
      <c r="D20" s="1950"/>
      <c r="E20" s="195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6" t="s">
        <v>1390</v>
      </c>
      <c r="B57" s="1947"/>
      <c r="C57" s="1947"/>
      <c r="D57" s="1947"/>
      <c r="E57" s="1947"/>
      <c r="F57" s="1947"/>
      <c r="G57" s="1947"/>
      <c r="H57" s="1947"/>
      <c r="I57" s="1947"/>
      <c r="J57" s="1947"/>
    </row>
    <row r="58" spans="1:10">
      <c r="A58" s="1947"/>
      <c r="B58" s="1947"/>
      <c r="C58" s="1947"/>
      <c r="D58" s="1947"/>
      <c r="E58" s="1947"/>
      <c r="F58" s="1947"/>
      <c r="G58" s="1947"/>
      <c r="H58" s="1947"/>
      <c r="I58" s="1947"/>
      <c r="J58" s="1947"/>
    </row>
    <row r="59" spans="1:10">
      <c r="A59" s="1947"/>
      <c r="B59" s="1947"/>
      <c r="C59" s="1947"/>
      <c r="D59" s="1947"/>
      <c r="E59" s="1947"/>
      <c r="F59" s="1947"/>
      <c r="G59" s="1947"/>
      <c r="H59" s="1947"/>
      <c r="I59" s="1947"/>
      <c r="J59" s="1947"/>
    </row>
    <row r="60" spans="1:10"/>
    <row r="61" spans="1:10">
      <c r="A61" s="671" t="s">
        <v>1389</v>
      </c>
    </row>
    <row r="62" spans="1:10"/>
    <row r="63" spans="1:10"/>
    <row r="64" spans="1:10"/>
    <row r="65" spans="1:9"/>
    <row r="66" spans="1:9"/>
    <row r="67" spans="1:9"/>
    <row r="68" spans="1:9"/>
    <row r="69" spans="1:9"/>
    <row r="70" spans="1:9"/>
    <row r="71" spans="1:9"/>
    <row r="72" spans="1:9" ht="13">
      <c r="A72" s="1948" t="s">
        <v>2399</v>
      </c>
      <c r="B72" s="1948"/>
      <c r="C72" s="1948"/>
      <c r="D72" s="1948"/>
      <c r="E72" s="1948"/>
      <c r="F72" s="1948"/>
      <c r="G72" s="1948"/>
      <c r="H72" s="1948"/>
      <c r="I72" s="1948"/>
    </row>
    <row r="73" spans="1:9">
      <c r="A73" s="1870" t="s">
        <v>1092</v>
      </c>
      <c r="B73" s="1870"/>
      <c r="C73" s="1870"/>
      <c r="D73" s="1870"/>
      <c r="E73" s="1870"/>
    </row>
    <row r="74" spans="1:9">
      <c r="A74" s="1870" t="s">
        <v>1391</v>
      </c>
      <c r="B74" s="1870"/>
      <c r="C74" s="1870"/>
      <c r="D74" s="1870"/>
      <c r="E74" s="1870"/>
    </row>
    <row r="75" spans="1:9">
      <c r="A75" s="1870" t="s">
        <v>2400</v>
      </c>
      <c r="B75" s="1870"/>
      <c r="C75" s="1870"/>
      <c r="D75" s="1870"/>
      <c r="E75" s="1870"/>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24" sqref="D24:F28"/>
    </sheetView>
  </sheetViews>
  <sheetFormatPr defaultColWidth="8.81640625" defaultRowHeight="13" zeroHeight="1"/>
  <cols>
    <col min="1" max="1" width="3.453125" style="787" customWidth="1"/>
    <col min="2" max="2" width="13.453125" style="787" customWidth="1"/>
    <col min="3" max="3" width="2.453125" style="787" customWidth="1"/>
    <col min="4" max="5" width="3.453125" style="788" customWidth="1"/>
    <col min="6" max="6" width="65.453125" style="788" customWidth="1"/>
    <col min="7" max="7" width="1.453125" style="788" customWidth="1"/>
    <col min="8" max="8" width="3.453125" style="789" customWidth="1"/>
    <col min="9" max="9" width="24.453125" style="1773" customWidth="1"/>
    <col min="10" max="16384" width="8.81640625" style="789"/>
  </cols>
  <sheetData>
    <row r="1" spans="1:9"/>
    <row r="2" spans="1:9">
      <c r="A2" s="1954" t="s">
        <v>2239</v>
      </c>
      <c r="B2" s="1954"/>
      <c r="C2" s="1954"/>
      <c r="D2" s="1954"/>
      <c r="E2" s="1954"/>
      <c r="F2" s="1954"/>
      <c r="G2" s="1954"/>
      <c r="H2" s="1954"/>
      <c r="I2" s="1954"/>
    </row>
    <row r="3" spans="1:9">
      <c r="A3" s="1955" t="s">
        <v>2240</v>
      </c>
      <c r="B3" s="1955"/>
      <c r="C3" s="1955"/>
      <c r="D3" s="1955"/>
      <c r="E3" s="1955"/>
      <c r="F3" s="1955"/>
      <c r="G3" s="1955"/>
      <c r="H3" s="1955"/>
      <c r="I3" s="1955"/>
    </row>
    <row r="4" spans="1:9">
      <c r="A4" s="1980"/>
      <c r="B4" s="1980"/>
      <c r="C4" s="1984"/>
      <c r="D4" s="1984"/>
      <c r="E4" s="1984"/>
      <c r="F4" s="1984"/>
      <c r="G4" s="1984"/>
      <c r="I4" s="641"/>
    </row>
    <row r="5" spans="1:9" s="790" customFormat="1">
      <c r="A5" s="1980"/>
      <c r="B5" s="1980"/>
      <c r="C5" s="1981"/>
      <c r="D5" s="1981"/>
      <c r="E5" s="1981"/>
      <c r="F5" s="1981"/>
      <c r="G5" s="1981"/>
      <c r="I5" s="1836"/>
    </row>
    <row r="6" spans="1:9" s="790" customFormat="1">
      <c r="A6" s="1976" t="s">
        <v>1253</v>
      </c>
      <c r="B6" s="1976"/>
      <c r="C6" s="1977"/>
      <c r="D6" s="1977"/>
      <c r="E6" s="1977"/>
      <c r="F6" s="1977"/>
      <c r="G6" s="1977"/>
      <c r="I6" s="1835" t="s">
        <v>2414</v>
      </c>
    </row>
    <row r="7" spans="1:9" s="790" customFormat="1">
      <c r="A7" s="1976" t="s">
        <v>1254</v>
      </c>
      <c r="B7" s="1976"/>
      <c r="C7" s="1977"/>
      <c r="D7" s="1977"/>
      <c r="E7" s="1977"/>
      <c r="F7" s="1977"/>
      <c r="G7" s="1977"/>
      <c r="I7" s="1835" t="s">
        <v>2415</v>
      </c>
    </row>
    <row r="8" spans="1:9">
      <c r="A8" s="791"/>
      <c r="B8" s="791"/>
      <c r="C8" s="792"/>
      <c r="D8" s="792"/>
      <c r="E8" s="792"/>
      <c r="F8" s="792"/>
    </row>
    <row r="9" spans="1:9">
      <c r="A9" s="1918" t="s">
        <v>1256</v>
      </c>
      <c r="B9" s="1918"/>
      <c r="C9" s="1918"/>
      <c r="D9" s="1918"/>
      <c r="E9" s="1918"/>
      <c r="F9" s="1918"/>
      <c r="G9" s="1918"/>
      <c r="H9" s="1852"/>
      <c r="I9" s="1853"/>
    </row>
    <row r="10" spans="1:9">
      <c r="A10" s="792"/>
      <c r="B10" s="792"/>
      <c r="E10" s="793"/>
    </row>
    <row r="11" spans="1:9" ht="13.75" customHeight="1">
      <c r="C11" s="792"/>
      <c r="D11" s="1979" t="s">
        <v>1255</v>
      </c>
      <c r="E11" s="1979"/>
      <c r="F11" s="1979"/>
    </row>
    <row r="12" spans="1:9">
      <c r="C12" s="792"/>
      <c r="D12" s="1979"/>
      <c r="E12" s="1979"/>
      <c r="F12" s="1979"/>
    </row>
    <row r="13" spans="1:9">
      <c r="A13" s="794"/>
      <c r="B13" s="794"/>
      <c r="C13" s="794"/>
      <c r="D13" s="1928" t="s">
        <v>1238</v>
      </c>
      <c r="E13" s="1928"/>
      <c r="F13" s="1928"/>
    </row>
    <row r="14" spans="1:9">
      <c r="A14" s="794"/>
      <c r="B14" s="794"/>
      <c r="C14" s="794"/>
      <c r="D14" s="795"/>
    </row>
    <row r="15" spans="1:9">
      <c r="A15" s="796"/>
      <c r="B15" s="797" t="s">
        <v>2659</v>
      </c>
      <c r="C15" s="798"/>
      <c r="D15" s="1923" t="s">
        <v>1239</v>
      </c>
      <c r="E15" s="1923"/>
      <c r="F15" s="1923"/>
      <c r="I15" s="1773" t="s">
        <v>2416</v>
      </c>
    </row>
    <row r="16" spans="1:9">
      <c r="A16" s="794"/>
      <c r="B16" s="794"/>
      <c r="C16" s="798"/>
      <c r="D16" s="1923"/>
      <c r="E16" s="1923"/>
      <c r="F16" s="1923"/>
    </row>
    <row r="17" spans="1:9">
      <c r="A17" s="794"/>
      <c r="B17" s="794"/>
      <c r="C17" s="798"/>
      <c r="D17" s="1923"/>
      <c r="E17" s="1923"/>
      <c r="F17" s="1923"/>
    </row>
    <row r="18" spans="1:9">
      <c r="A18" s="794"/>
      <c r="B18" s="794"/>
      <c r="C18" s="794"/>
    </row>
    <row r="19" spans="1:9">
      <c r="A19" s="796"/>
      <c r="B19" s="797" t="s">
        <v>2658</v>
      </c>
      <c r="D19" s="1902" t="s">
        <v>1240</v>
      </c>
      <c r="E19" s="1902"/>
      <c r="F19" s="1902"/>
      <c r="I19" s="1773" t="s">
        <v>2417</v>
      </c>
    </row>
    <row r="20" spans="1:9">
      <c r="A20" s="796"/>
      <c r="B20" s="796"/>
      <c r="D20" s="799"/>
    </row>
    <row r="21" spans="1:9">
      <c r="A21" s="796"/>
      <c r="B21" s="797" t="s">
        <v>2659</v>
      </c>
      <c r="D21" s="1923" t="s">
        <v>1241</v>
      </c>
      <c r="E21" s="1923"/>
      <c r="F21" s="1923"/>
      <c r="I21" s="1773" t="s">
        <v>2417</v>
      </c>
    </row>
    <row r="22" spans="1:9">
      <c r="A22" s="796"/>
      <c r="B22" s="796"/>
      <c r="D22" s="1923"/>
      <c r="E22" s="1923"/>
      <c r="F22" s="1923"/>
    </row>
    <row r="23" spans="1:9"/>
    <row r="24" spans="1:9">
      <c r="A24" s="796"/>
      <c r="B24" s="797" t="s">
        <v>2658</v>
      </c>
      <c r="D24" s="1968" t="s">
        <v>1242</v>
      </c>
      <c r="E24" s="1968"/>
      <c r="F24" s="1968"/>
      <c r="I24" s="1773" t="s">
        <v>2420</v>
      </c>
    </row>
    <row r="25" spans="1:9">
      <c r="D25" s="1968"/>
      <c r="E25" s="1968"/>
      <c r="F25" s="1968"/>
    </row>
    <row r="26" spans="1:9">
      <c r="D26" s="1968"/>
      <c r="E26" s="1968"/>
      <c r="F26" s="1968"/>
    </row>
    <row r="27" spans="1:9">
      <c r="D27" s="1968"/>
      <c r="E27" s="1968"/>
      <c r="F27" s="1968"/>
    </row>
    <row r="28" spans="1:9">
      <c r="D28" s="1968"/>
      <c r="E28" s="1968"/>
      <c r="F28" s="1968"/>
    </row>
    <row r="29" spans="1:9" s="790" customFormat="1">
      <c r="A29" s="800"/>
      <c r="B29" s="800"/>
      <c r="C29" s="800"/>
      <c r="D29" s="732"/>
      <c r="E29" s="801"/>
      <c r="F29" s="801"/>
      <c r="G29" s="801"/>
      <c r="I29" s="1836"/>
    </row>
    <row r="30" spans="1:9" s="790" customFormat="1">
      <c r="A30" s="800"/>
      <c r="B30" s="797" t="s">
        <v>2659</v>
      </c>
      <c r="C30" s="800"/>
      <c r="D30" s="1880" t="s">
        <v>1243</v>
      </c>
      <c r="E30" s="1880"/>
      <c r="F30" s="1880"/>
      <c r="G30" s="801"/>
      <c r="I30" s="1836" t="s">
        <v>2416</v>
      </c>
    </row>
    <row r="31" spans="1:9" s="790" customFormat="1">
      <c r="A31" s="800"/>
      <c r="B31" s="800"/>
      <c r="C31" s="800"/>
      <c r="D31" s="1880"/>
      <c r="E31" s="1880"/>
      <c r="F31" s="1880"/>
      <c r="G31" s="801"/>
      <c r="I31" s="1836"/>
    </row>
    <row r="32" spans="1:9">
      <c r="A32" s="796"/>
      <c r="B32" s="796"/>
      <c r="D32" s="802"/>
    </row>
    <row r="33" spans="1:9" ht="14.5" customHeight="1">
      <c r="A33" s="796"/>
      <c r="B33" s="797" t="s">
        <v>2659</v>
      </c>
      <c r="D33" s="1880" t="s">
        <v>1422</v>
      </c>
      <c r="E33" s="1880"/>
      <c r="F33" s="1880"/>
      <c r="I33" s="1836" t="s">
        <v>2488</v>
      </c>
    </row>
    <row r="34" spans="1:9">
      <c r="A34" s="796"/>
      <c r="B34" s="796"/>
      <c r="D34" s="1880"/>
      <c r="E34" s="1880"/>
      <c r="F34" s="1880"/>
    </row>
    <row r="35" spans="1:9">
      <c r="A35" s="796"/>
      <c r="B35" s="796"/>
      <c r="D35" s="1880"/>
      <c r="E35" s="1880"/>
      <c r="F35" s="1880"/>
    </row>
    <row r="36" spans="1:9">
      <c r="A36" s="796"/>
      <c r="B36" s="796"/>
      <c r="D36" s="1880"/>
      <c r="E36" s="1880"/>
      <c r="F36" s="1880"/>
    </row>
    <row r="37" spans="1:9">
      <c r="A37" s="796"/>
      <c r="B37" s="796"/>
      <c r="D37" s="789"/>
    </row>
    <row r="38" spans="1:9">
      <c r="A38" s="796"/>
      <c r="B38" s="797" t="s">
        <v>2659</v>
      </c>
      <c r="D38" s="1880" t="s">
        <v>1245</v>
      </c>
      <c r="E38" s="1880"/>
      <c r="F38" s="1880"/>
    </row>
    <row r="39" spans="1:9">
      <c r="A39" s="796"/>
      <c r="B39" s="796"/>
      <c r="D39" s="1880"/>
      <c r="E39" s="1880"/>
      <c r="F39" s="1880"/>
    </row>
    <row r="40" spans="1:9">
      <c r="A40" s="796"/>
      <c r="B40" s="796"/>
      <c r="D40" s="1880"/>
      <c r="E40" s="1880"/>
      <c r="F40" s="1880"/>
    </row>
    <row r="41" spans="1:9">
      <c r="A41" s="796"/>
      <c r="B41" s="796"/>
      <c r="D41" s="1880"/>
      <c r="E41" s="1880"/>
      <c r="F41" s="1880"/>
    </row>
    <row r="42" spans="1:9">
      <c r="A42" s="796"/>
      <c r="B42" s="796"/>
      <c r="D42" s="1880"/>
      <c r="E42" s="1880"/>
      <c r="F42" s="1880"/>
    </row>
    <row r="43" spans="1:9">
      <c r="A43" s="796"/>
      <c r="B43" s="796"/>
      <c r="D43" s="780"/>
      <c r="E43" s="780"/>
      <c r="F43" s="780"/>
    </row>
    <row r="44" spans="1:9">
      <c r="A44" s="796"/>
      <c r="B44" s="797" t="s">
        <v>2659</v>
      </c>
      <c r="D44" s="1880" t="s">
        <v>1246</v>
      </c>
      <c r="E44" s="1880"/>
      <c r="F44" s="1880"/>
      <c r="I44" s="1836" t="s">
        <v>2488</v>
      </c>
    </row>
    <row r="45" spans="1:9">
      <c r="A45" s="796"/>
      <c r="B45" s="796"/>
      <c r="D45" s="1880"/>
      <c r="E45" s="1880"/>
      <c r="F45" s="1880"/>
    </row>
    <row r="46" spans="1:9">
      <c r="A46" s="796"/>
      <c r="B46" s="796"/>
      <c r="D46" s="1880"/>
      <c r="E46" s="1880"/>
      <c r="F46" s="1880"/>
    </row>
    <row r="47" spans="1:9" ht="23.25" customHeight="1">
      <c r="A47" s="796"/>
      <c r="B47" s="796"/>
      <c r="D47" s="1880"/>
      <c r="E47" s="1880"/>
      <c r="F47" s="1880"/>
    </row>
    <row r="48" spans="1:9">
      <c r="A48" s="796"/>
      <c r="B48" s="796"/>
      <c r="D48" s="784"/>
    </row>
    <row r="49" spans="1:9" ht="14.5" customHeight="1">
      <c r="A49" s="796"/>
      <c r="B49" s="797" t="s">
        <v>2659</v>
      </c>
      <c r="D49" s="1880" t="s">
        <v>1247</v>
      </c>
      <c r="E49" s="1880"/>
      <c r="F49" s="1880"/>
      <c r="I49" s="1836" t="s">
        <v>2488</v>
      </c>
    </row>
    <row r="50" spans="1:9">
      <c r="A50" s="796"/>
      <c r="B50" s="796"/>
      <c r="D50" s="1880"/>
      <c r="E50" s="1880"/>
      <c r="F50" s="1880"/>
    </row>
    <row r="51" spans="1:9">
      <c r="A51" s="796"/>
      <c r="B51" s="796"/>
      <c r="D51" s="1880"/>
      <c r="E51" s="1880"/>
      <c r="F51" s="1880"/>
    </row>
    <row r="52" spans="1:9" s="617" customFormat="1">
      <c r="A52" s="796"/>
      <c r="B52" s="796"/>
      <c r="C52" s="803"/>
      <c r="D52" s="801"/>
      <c r="E52" s="692"/>
      <c r="F52" s="692"/>
      <c r="G52" s="692"/>
      <c r="I52" s="641"/>
    </row>
    <row r="53" spans="1:9" s="617" customFormat="1">
      <c r="A53" s="804"/>
      <c r="B53" s="797" t="s">
        <v>2658</v>
      </c>
      <c r="C53" s="805"/>
      <c r="D53" s="1880" t="s">
        <v>1248</v>
      </c>
      <c r="E53" s="1880"/>
      <c r="F53" s="1880"/>
      <c r="G53" s="692"/>
      <c r="I53" s="1773"/>
    </row>
    <row r="54" spans="1:9" s="617" customFormat="1">
      <c r="A54" s="804"/>
      <c r="B54" s="804"/>
      <c r="C54" s="805"/>
      <c r="D54" s="1880"/>
      <c r="E54" s="1880"/>
      <c r="F54" s="1880"/>
      <c r="G54" s="692"/>
      <c r="I54" s="641"/>
    </row>
    <row r="55" spans="1:9" s="790" customFormat="1">
      <c r="A55" s="800"/>
      <c r="B55" s="800"/>
      <c r="C55" s="800"/>
      <c r="D55" s="732"/>
      <c r="E55" s="801"/>
      <c r="F55" s="801"/>
      <c r="G55" s="801"/>
      <c r="I55" s="1836"/>
    </row>
    <row r="56" spans="1:9">
      <c r="A56" s="796"/>
      <c r="B56" s="1774" t="s">
        <v>2659</v>
      </c>
      <c r="D56" s="1880" t="s">
        <v>1249</v>
      </c>
      <c r="E56" s="1880"/>
      <c r="F56" s="1880"/>
      <c r="I56" s="1773" t="s">
        <v>2418</v>
      </c>
    </row>
    <row r="57" spans="1:9">
      <c r="D57" s="1880"/>
      <c r="E57" s="1880"/>
      <c r="F57" s="1880"/>
    </row>
    <row r="58" spans="1:9">
      <c r="D58" s="1880"/>
      <c r="E58" s="1880"/>
      <c r="F58" s="1880"/>
    </row>
    <row r="59" spans="1:9">
      <c r="D59" s="692"/>
    </row>
    <row r="60" spans="1:9">
      <c r="A60" s="796"/>
      <c r="B60" s="1774" t="s">
        <v>2659</v>
      </c>
      <c r="D60" s="1880" t="s">
        <v>1250</v>
      </c>
      <c r="E60" s="1880"/>
      <c r="F60" s="1880"/>
      <c r="I60" s="1773" t="s">
        <v>2419</v>
      </c>
    </row>
    <row r="61" spans="1:9">
      <c r="D61" s="1880"/>
      <c r="E61" s="1880"/>
      <c r="F61" s="1880"/>
    </row>
    <row r="62" spans="1:9"/>
    <row r="63" spans="1:9">
      <c r="A63" s="796"/>
      <c r="B63" s="1774" t="s">
        <v>2659</v>
      </c>
      <c r="D63" s="1880" t="s">
        <v>1251</v>
      </c>
      <c r="E63" s="1880"/>
      <c r="F63" s="1880"/>
    </row>
    <row r="64" spans="1:9">
      <c r="D64" s="1880"/>
      <c r="E64" s="1880"/>
      <c r="F64" s="1880"/>
      <c r="I64" s="1773" t="s">
        <v>2420</v>
      </c>
    </row>
    <row r="65" spans="1:9">
      <c r="D65" s="1880"/>
      <c r="E65" s="1880"/>
      <c r="F65" s="1880"/>
    </row>
    <row r="66" spans="1:9">
      <c r="D66" s="789"/>
    </row>
    <row r="67" spans="1:9">
      <c r="A67" s="796"/>
      <c r="B67" s="1774" t="s">
        <v>2659</v>
      </c>
      <c r="D67" s="1923" t="s">
        <v>1252</v>
      </c>
      <c r="E67" s="1923"/>
      <c r="F67" s="1923"/>
      <c r="I67" s="1773" t="s">
        <v>2420</v>
      </c>
    </row>
    <row r="68" spans="1:9">
      <c r="D68" s="1923"/>
      <c r="E68" s="1923"/>
      <c r="F68" s="1923"/>
    </row>
    <row r="69" spans="1:9">
      <c r="A69" s="796"/>
      <c r="B69" s="796"/>
      <c r="D69" s="799"/>
    </row>
    <row r="70" spans="1:9">
      <c r="A70" s="1888" t="s">
        <v>1159</v>
      </c>
      <c r="B70" s="1888"/>
      <c r="C70" s="1888"/>
      <c r="D70" s="1888"/>
      <c r="E70" s="1888"/>
      <c r="F70" s="1888"/>
      <c r="G70" s="1888"/>
      <c r="H70" s="1852"/>
      <c r="I70" s="1853"/>
    </row>
    <row r="71" spans="1:9"/>
    <row r="72" spans="1:9">
      <c r="C72" s="806"/>
      <c r="D72" s="1961" t="s">
        <v>1257</v>
      </c>
      <c r="E72" s="1961"/>
      <c r="F72" s="1961"/>
    </row>
    <row r="73" spans="1:9">
      <c r="A73" s="799"/>
      <c r="B73" s="799"/>
      <c r="D73" s="1923" t="s">
        <v>1284</v>
      </c>
      <c r="E73" s="1923"/>
      <c r="F73" s="1923"/>
    </row>
    <row r="74" spans="1:9">
      <c r="A74" s="799"/>
      <c r="B74" s="799"/>
    </row>
    <row r="75" spans="1:9" ht="13.75" customHeight="1">
      <c r="A75" s="796"/>
      <c r="B75" s="797" t="s">
        <v>2658</v>
      </c>
      <c r="D75" s="1923" t="s">
        <v>1471</v>
      </c>
      <c r="E75" s="1923"/>
      <c r="F75" s="1923"/>
      <c r="I75" s="1773" t="s">
        <v>2421</v>
      </c>
    </row>
    <row r="76" spans="1:9">
      <c r="A76" s="796"/>
      <c r="B76" s="796"/>
      <c r="D76" s="1923"/>
      <c r="E76" s="1923"/>
      <c r="F76" s="1923"/>
    </row>
    <row r="77" spans="1:9">
      <c r="A77" s="796"/>
      <c r="B77" s="796"/>
      <c r="D77" s="1923"/>
      <c r="E77" s="1923"/>
      <c r="F77" s="1923"/>
    </row>
    <row r="78" spans="1:9">
      <c r="A78" s="796"/>
      <c r="B78" s="796"/>
      <c r="D78" s="1923"/>
      <c r="E78" s="1923"/>
      <c r="F78" s="1923"/>
    </row>
    <row r="79" spans="1:9">
      <c r="A79" s="796"/>
      <c r="B79" s="796"/>
      <c r="D79" s="1923"/>
      <c r="E79" s="1923"/>
      <c r="F79" s="1923"/>
    </row>
    <row r="80" spans="1:9">
      <c r="A80" s="796"/>
      <c r="B80" s="796"/>
      <c r="D80" s="1923"/>
      <c r="E80" s="1923"/>
      <c r="F80" s="1923"/>
    </row>
    <row r="81" spans="1:9">
      <c r="A81" s="796"/>
      <c r="B81" s="796"/>
      <c r="D81" s="1923"/>
      <c r="E81" s="1923"/>
      <c r="F81" s="1923"/>
    </row>
    <row r="82" spans="1:9">
      <c r="A82" s="796"/>
      <c r="B82" s="796"/>
      <c r="D82" s="1923"/>
      <c r="E82" s="1923"/>
      <c r="F82" s="1923"/>
    </row>
    <row r="83" spans="1:9">
      <c r="A83" s="796"/>
      <c r="B83" s="796"/>
      <c r="D83" s="877"/>
      <c r="E83" s="877"/>
      <c r="F83" s="877"/>
    </row>
    <row r="84" spans="1:9" ht="15" customHeight="1">
      <c r="A84" s="796"/>
      <c r="B84" s="797" t="s">
        <v>2658</v>
      </c>
      <c r="D84" s="1923" t="s">
        <v>2241</v>
      </c>
      <c r="E84" s="1923"/>
      <c r="F84" s="1923"/>
      <c r="I84" s="1773" t="s">
        <v>2422</v>
      </c>
    </row>
    <row r="85" spans="1:9">
      <c r="A85" s="796"/>
      <c r="B85" s="796"/>
      <c r="D85" s="1923"/>
      <c r="E85" s="1923"/>
      <c r="F85" s="1923"/>
    </row>
    <row r="86" spans="1:9">
      <c r="A86" s="796"/>
      <c r="B86" s="796"/>
      <c r="D86" s="1711"/>
      <c r="E86" s="1711"/>
      <c r="F86" s="1711"/>
    </row>
    <row r="87" spans="1:9">
      <c r="A87" s="796"/>
      <c r="B87" s="797" t="s">
        <v>2658</v>
      </c>
      <c r="D87" s="1923" t="s">
        <v>2245</v>
      </c>
      <c r="E87" s="1923"/>
      <c r="F87" s="1923"/>
      <c r="I87" s="1773" t="s">
        <v>2423</v>
      </c>
    </row>
    <row r="88" spans="1:9">
      <c r="A88" s="796"/>
      <c r="B88" s="796"/>
      <c r="D88" s="1923"/>
      <c r="E88" s="1923"/>
      <c r="F88" s="1923"/>
    </row>
    <row r="89" spans="1:9">
      <c r="A89" s="796"/>
      <c r="B89" s="796"/>
      <c r="D89" s="1923"/>
      <c r="E89" s="1923"/>
      <c r="F89" s="1923"/>
    </row>
    <row r="90" spans="1:9">
      <c r="A90" s="796"/>
      <c r="B90" s="796"/>
      <c r="D90" s="1711"/>
      <c r="E90" s="1711"/>
      <c r="F90" s="1711"/>
    </row>
    <row r="91" spans="1:9">
      <c r="A91" s="796"/>
      <c r="B91" s="797" t="s">
        <v>2658</v>
      </c>
      <c r="D91" s="1923" t="s">
        <v>2243</v>
      </c>
      <c r="E91" s="1923"/>
      <c r="F91" s="1923"/>
      <c r="I91" s="1773" t="s">
        <v>2468</v>
      </c>
    </row>
    <row r="92" spans="1:9" s="1728" customFormat="1">
      <c r="A92" s="1726"/>
      <c r="B92" s="1726"/>
      <c r="C92" s="1727"/>
      <c r="D92" s="1923"/>
      <c r="E92" s="1923"/>
      <c r="F92" s="1923"/>
      <c r="I92" s="1837"/>
    </row>
    <row r="93" spans="1:9">
      <c r="A93" s="796"/>
      <c r="B93" s="796"/>
      <c r="D93" s="1717"/>
      <c r="E93" s="1718" t="s">
        <v>2244</v>
      </c>
      <c r="F93" s="1711"/>
    </row>
    <row r="94" spans="1:9">
      <c r="A94" s="796"/>
      <c r="B94" s="796"/>
      <c r="D94" s="877"/>
      <c r="E94" s="877"/>
      <c r="F94" s="877"/>
    </row>
    <row r="95" spans="1:9">
      <c r="A95" s="796"/>
      <c r="B95" s="797" t="s">
        <v>2659</v>
      </c>
      <c r="D95" s="1923" t="s">
        <v>2242</v>
      </c>
      <c r="E95" s="1923"/>
      <c r="F95" s="1923"/>
      <c r="I95" s="1773" t="s">
        <v>2424</v>
      </c>
    </row>
    <row r="96" spans="1:9">
      <c r="A96" s="796"/>
      <c r="B96" s="796"/>
      <c r="D96" s="1923"/>
      <c r="E96" s="1923"/>
      <c r="F96" s="1923"/>
    </row>
    <row r="97" spans="1:9">
      <c r="A97" s="796"/>
      <c r="B97" s="796"/>
      <c r="D97" s="1711"/>
      <c r="E97" s="1711"/>
      <c r="F97" s="1711"/>
    </row>
    <row r="98" spans="1:9" ht="14.5" customHeight="1">
      <c r="A98" s="796"/>
      <c r="B98" s="797" t="s">
        <v>2659</v>
      </c>
      <c r="D98" s="1923" t="s">
        <v>1397</v>
      </c>
      <c r="E98" s="1923"/>
      <c r="F98" s="1923"/>
      <c r="G98" s="789"/>
      <c r="I98" s="1773" t="s">
        <v>2425</v>
      </c>
    </row>
    <row r="99" spans="1:9">
      <c r="A99" s="796"/>
      <c r="B99" s="796"/>
      <c r="D99" s="1923"/>
      <c r="E99" s="1923"/>
      <c r="F99" s="1923"/>
      <c r="G99" s="789"/>
    </row>
    <row r="100" spans="1:9">
      <c r="A100" s="796"/>
      <c r="B100" s="796"/>
      <c r="D100" s="1923"/>
      <c r="E100" s="1923"/>
      <c r="F100" s="1923"/>
      <c r="G100" s="789"/>
    </row>
    <row r="101" spans="1:9">
      <c r="A101" s="796"/>
      <c r="B101" s="796"/>
      <c r="D101" s="1923"/>
      <c r="E101" s="1923"/>
      <c r="F101" s="1923"/>
      <c r="G101" s="789"/>
    </row>
    <row r="102" spans="1:9">
      <c r="A102" s="796"/>
      <c r="B102" s="796"/>
      <c r="D102" s="1923"/>
      <c r="E102" s="1923"/>
      <c r="F102" s="1923"/>
      <c r="G102" s="789"/>
    </row>
    <row r="103" spans="1:9">
      <c r="A103" s="796"/>
      <c r="B103" s="796"/>
      <c r="D103" s="1923"/>
      <c r="E103" s="1923"/>
      <c r="F103" s="1923"/>
      <c r="G103" s="789"/>
    </row>
    <row r="104" spans="1:9">
      <c r="A104" s="796"/>
      <c r="B104" s="796"/>
      <c r="D104" s="1923"/>
      <c r="E104" s="1923"/>
      <c r="F104" s="1923"/>
      <c r="G104" s="789"/>
    </row>
    <row r="105" spans="1:9">
      <c r="A105" s="796"/>
      <c r="B105" s="796"/>
      <c r="D105" s="1923"/>
      <c r="E105" s="1923"/>
      <c r="F105" s="1923"/>
      <c r="G105" s="789"/>
    </row>
    <row r="106" spans="1:9">
      <c r="A106" s="796"/>
      <c r="B106" s="796"/>
      <c r="D106" s="1923"/>
      <c r="E106" s="1923"/>
      <c r="F106" s="1923"/>
      <c r="G106" s="789"/>
    </row>
    <row r="107" spans="1:9">
      <c r="A107" s="796"/>
      <c r="B107" s="796"/>
      <c r="D107" s="1923"/>
      <c r="E107" s="1923"/>
      <c r="F107" s="1923"/>
      <c r="G107" s="789"/>
    </row>
    <row r="108" spans="1:9">
      <c r="A108" s="796"/>
      <c r="B108" s="796"/>
      <c r="D108" s="1923"/>
      <c r="E108" s="1923"/>
      <c r="F108" s="1923"/>
      <c r="G108" s="789"/>
    </row>
    <row r="109" spans="1:9">
      <c r="A109" s="796"/>
      <c r="B109" s="796"/>
      <c r="D109" s="1923"/>
      <c r="E109" s="1923"/>
      <c r="F109" s="1923"/>
      <c r="G109" s="789"/>
    </row>
    <row r="110" spans="1:9">
      <c r="A110" s="796"/>
      <c r="B110" s="796"/>
      <c r="D110" s="1923"/>
      <c r="E110" s="1923"/>
      <c r="F110" s="1923"/>
      <c r="G110" s="789"/>
    </row>
    <row r="111" spans="1:9">
      <c r="A111" s="796"/>
      <c r="B111" s="796"/>
      <c r="D111" s="1923"/>
      <c r="E111" s="1923"/>
      <c r="F111" s="1923"/>
    </row>
    <row r="112" spans="1:9">
      <c r="A112" s="796"/>
      <c r="B112" s="796"/>
      <c r="D112" s="1923"/>
      <c r="E112" s="1923"/>
      <c r="F112" s="1923"/>
    </row>
    <row r="113" spans="1:11">
      <c r="A113" s="796"/>
      <c r="B113" s="796"/>
      <c r="D113" s="903"/>
      <c r="E113" s="903"/>
      <c r="F113" s="903"/>
    </row>
    <row r="114" spans="1:11" ht="14.25" customHeight="1">
      <c r="A114" s="796"/>
      <c r="B114" s="797" t="s">
        <v>2659</v>
      </c>
      <c r="D114" s="1921" t="s">
        <v>1259</v>
      </c>
      <c r="E114" s="1921"/>
      <c r="F114" s="1921"/>
    </row>
    <row r="115" spans="1:11">
      <c r="A115" s="796"/>
      <c r="B115" s="796"/>
      <c r="D115" s="1921"/>
      <c r="E115" s="1921"/>
      <c r="F115" s="1921"/>
    </row>
    <row r="116" spans="1:11">
      <c r="A116" s="796"/>
      <c r="B116" s="796"/>
      <c r="D116" s="1921"/>
      <c r="E116" s="1921"/>
      <c r="F116" s="1921"/>
    </row>
    <row r="117" spans="1:11">
      <c r="A117" s="796"/>
      <c r="B117" s="796"/>
      <c r="D117" s="1921"/>
      <c r="E117" s="1921"/>
      <c r="F117" s="1921"/>
    </row>
    <row r="118" spans="1:11">
      <c r="A118" s="796"/>
      <c r="B118" s="796"/>
      <c r="D118" s="1921"/>
      <c r="E118" s="1921"/>
      <c r="F118" s="1921"/>
    </row>
    <row r="119" spans="1:11">
      <c r="A119" s="796"/>
      <c r="B119" s="796"/>
      <c r="D119" s="1921"/>
      <c r="E119" s="1921"/>
      <c r="F119" s="1921"/>
    </row>
    <row r="120" spans="1:11">
      <c r="A120" s="796"/>
      <c r="B120" s="796"/>
      <c r="D120" s="1921"/>
      <c r="E120" s="1921"/>
      <c r="F120" s="1921"/>
    </row>
    <row r="121" spans="1:11">
      <c r="A121" s="796"/>
      <c r="B121" s="796"/>
      <c r="D121" s="1921"/>
      <c r="E121" s="1921"/>
      <c r="F121" s="1921"/>
    </row>
    <row r="122" spans="1:11">
      <c r="C122" s="721"/>
      <c r="D122" s="904"/>
      <c r="E122" s="904"/>
      <c r="F122" s="904"/>
      <c r="G122" s="721"/>
      <c r="H122" s="721"/>
      <c r="I122" s="621"/>
      <c r="J122" s="721"/>
      <c r="K122" s="721"/>
    </row>
    <row r="123" spans="1:11">
      <c r="A123" s="796"/>
      <c r="B123" s="797" t="s">
        <v>2658</v>
      </c>
      <c r="C123" s="721"/>
      <c r="D123" s="1921" t="s">
        <v>1261</v>
      </c>
      <c r="E123" s="1921"/>
      <c r="F123" s="1921"/>
      <c r="G123" s="721"/>
      <c r="H123" s="721"/>
      <c r="I123" s="621" t="s">
        <v>2426</v>
      </c>
      <c r="J123" s="721"/>
      <c r="K123" s="721"/>
    </row>
    <row r="124" spans="1:11">
      <c r="A124" s="796"/>
      <c r="B124" s="796"/>
      <c r="C124" s="721"/>
      <c r="D124" s="1921"/>
      <c r="E124" s="1921"/>
      <c r="F124" s="1921"/>
      <c r="G124" s="721"/>
      <c r="H124" s="721"/>
      <c r="I124" s="621"/>
      <c r="J124" s="721"/>
      <c r="K124" s="721"/>
    </row>
    <row r="125" spans="1:11"/>
    <row r="126" spans="1:11">
      <c r="A126" s="796"/>
      <c r="B126" s="797" t="s">
        <v>2658</v>
      </c>
      <c r="C126" s="803"/>
      <c r="D126" s="1923" t="s">
        <v>1262</v>
      </c>
      <c r="E126" s="1923"/>
      <c r="F126" s="1923"/>
      <c r="I126" s="621" t="s">
        <v>2426</v>
      </c>
    </row>
    <row r="127" spans="1:11">
      <c r="C127" s="803"/>
      <c r="D127" s="1923"/>
      <c r="E127" s="1923"/>
      <c r="F127" s="1923"/>
    </row>
    <row r="128" spans="1:11">
      <c r="C128" s="803"/>
      <c r="D128" s="1923"/>
      <c r="E128" s="1923"/>
      <c r="F128" s="1923"/>
    </row>
    <row r="129" spans="1:9">
      <c r="C129" s="803"/>
      <c r="D129" s="1923"/>
      <c r="E129" s="1923"/>
      <c r="F129" s="1923"/>
    </row>
    <row r="130" spans="1:9">
      <c r="C130" s="803"/>
      <c r="D130" s="1923"/>
      <c r="E130" s="1923"/>
      <c r="F130" s="1923"/>
    </row>
    <row r="131" spans="1:9">
      <c r="C131" s="803"/>
      <c r="D131" s="671"/>
      <c r="E131" s="671"/>
      <c r="F131" s="671"/>
    </row>
    <row r="132" spans="1:9" s="721" customFormat="1">
      <c r="A132" s="796"/>
      <c r="B132" s="797" t="s">
        <v>2658</v>
      </c>
      <c r="C132" s="803"/>
      <c r="D132" s="1880" t="s">
        <v>1263</v>
      </c>
      <c r="E132" s="1880"/>
      <c r="F132" s="1880"/>
      <c r="G132" s="671"/>
      <c r="I132" s="621" t="s">
        <v>2427</v>
      </c>
    </row>
    <row r="133" spans="1:9" s="811" customFormat="1" ht="13.75" customHeight="1">
      <c r="A133" s="808"/>
      <c r="B133" s="808"/>
      <c r="C133" s="809"/>
      <c r="D133" s="1880"/>
      <c r="E133" s="1880"/>
      <c r="F133" s="1880"/>
      <c r="G133" s="810"/>
      <c r="I133" s="1838"/>
    </row>
    <row r="134" spans="1:9" s="721" customFormat="1" ht="13.75" customHeight="1">
      <c r="A134" s="787"/>
      <c r="B134" s="787"/>
      <c r="C134" s="803"/>
      <c r="D134" s="1880"/>
      <c r="E134" s="1880"/>
      <c r="F134" s="1880"/>
      <c r="G134" s="671"/>
      <c r="I134" s="621"/>
    </row>
    <row r="135" spans="1:9" s="721" customFormat="1" ht="13.75" customHeight="1">
      <c r="A135" s="787"/>
      <c r="B135" s="787"/>
      <c r="C135" s="803"/>
      <c r="D135" s="1880"/>
      <c r="E135" s="1880"/>
      <c r="F135" s="1880"/>
      <c r="G135" s="671"/>
      <c r="I135" s="621"/>
    </row>
    <row r="136" spans="1:9" s="721" customFormat="1" ht="13.75" customHeight="1">
      <c r="A136" s="787"/>
      <c r="B136" s="787"/>
      <c r="C136" s="803"/>
      <c r="D136" s="1880"/>
      <c r="E136" s="1880"/>
      <c r="F136" s="1880"/>
      <c r="G136" s="671"/>
      <c r="I136" s="621"/>
    </row>
    <row r="137" spans="1:9" s="721" customFormat="1" ht="13.75" customHeight="1">
      <c r="A137" s="812"/>
      <c r="B137" s="812"/>
      <c r="C137" s="803"/>
      <c r="D137" s="1880"/>
      <c r="E137" s="1880"/>
      <c r="F137" s="1880"/>
      <c r="G137" s="671"/>
      <c r="I137" s="621"/>
    </row>
    <row r="138" spans="1:9" s="617" customFormat="1" ht="13.75" customHeight="1">
      <c r="A138" s="800"/>
      <c r="B138" s="800"/>
      <c r="C138" s="805"/>
      <c r="D138" s="1880"/>
      <c r="E138" s="1880"/>
      <c r="F138" s="1880"/>
      <c r="G138" s="692"/>
      <c r="I138" s="641"/>
    </row>
    <row r="139" spans="1:9" s="617" customFormat="1" ht="13.75" customHeight="1">
      <c r="A139" s="800"/>
      <c r="B139" s="800"/>
      <c r="C139" s="805"/>
      <c r="D139" s="1880"/>
      <c r="E139" s="1880"/>
      <c r="F139" s="1880"/>
      <c r="G139" s="692"/>
      <c r="I139" s="641"/>
    </row>
    <row r="140" spans="1:9" s="721" customFormat="1" ht="13.75" customHeight="1">
      <c r="A140" s="787"/>
      <c r="B140" s="787"/>
      <c r="C140" s="803"/>
      <c r="D140" s="1880"/>
      <c r="E140" s="1880"/>
      <c r="F140" s="1880"/>
      <c r="G140" s="671"/>
      <c r="I140" s="621"/>
    </row>
    <row r="141" spans="1:9" s="721" customFormat="1" ht="13.75" customHeight="1">
      <c r="A141" s="787"/>
      <c r="B141" s="787"/>
      <c r="C141" s="803"/>
      <c r="D141" s="1880"/>
      <c r="E141" s="1880"/>
      <c r="F141" s="1880"/>
      <c r="G141" s="671"/>
      <c r="I141" s="621"/>
    </row>
    <row r="142" spans="1:9" s="721" customFormat="1" ht="13.75" customHeight="1">
      <c r="A142" s="787"/>
      <c r="B142" s="787"/>
      <c r="C142" s="803"/>
      <c r="D142" s="1880"/>
      <c r="E142" s="1880"/>
      <c r="F142" s="1880"/>
      <c r="G142" s="671"/>
      <c r="I142" s="621"/>
    </row>
    <row r="143" spans="1:9" s="721" customFormat="1" ht="13.75" customHeight="1">
      <c r="A143" s="787"/>
      <c r="B143" s="787"/>
      <c r="C143" s="803"/>
      <c r="D143" s="1880"/>
      <c r="E143" s="1880"/>
      <c r="F143" s="1880"/>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2659</v>
      </c>
      <c r="C145" s="803"/>
      <c r="D145" s="1965" t="s">
        <v>1371</v>
      </c>
      <c r="E145" s="1965"/>
      <c r="F145" s="1965"/>
      <c r="G145" s="671"/>
      <c r="I145" s="621" t="s">
        <v>2428</v>
      </c>
    </row>
    <row r="146" spans="1:9" s="721" customFormat="1" ht="13.75" customHeight="1">
      <c r="A146" s="787"/>
      <c r="B146" s="787"/>
      <c r="C146" s="803"/>
      <c r="D146" s="1965"/>
      <c r="E146" s="1965"/>
      <c r="F146" s="1965"/>
      <c r="G146" s="671"/>
      <c r="I146" s="621"/>
    </row>
    <row r="147" spans="1:9" s="721" customFormat="1" ht="13.75" customHeight="1">
      <c r="A147" s="787"/>
      <c r="B147" s="787"/>
      <c r="C147" s="803"/>
      <c r="D147" s="1965"/>
      <c r="E147" s="1965"/>
      <c r="F147" s="1965"/>
      <c r="G147" s="671"/>
      <c r="I147" s="621"/>
    </row>
    <row r="148" spans="1:9" s="721" customFormat="1" ht="13.75" customHeight="1">
      <c r="A148" s="787"/>
      <c r="B148" s="787"/>
      <c r="C148" s="803"/>
      <c r="D148" s="1965"/>
      <c r="E148" s="1965"/>
      <c r="F148" s="1965"/>
      <c r="G148" s="671"/>
      <c r="I148" s="621"/>
    </row>
    <row r="149" spans="1:9" s="721" customFormat="1" ht="13.75" customHeight="1">
      <c r="A149" s="787"/>
      <c r="B149" s="787"/>
      <c r="C149" s="803"/>
      <c r="D149" s="1965"/>
      <c r="E149" s="1965"/>
      <c r="F149" s="1965"/>
      <c r="G149" s="671"/>
      <c r="I149" s="621"/>
    </row>
    <row r="150" spans="1:9" s="721" customFormat="1" ht="13.75" customHeight="1">
      <c r="A150" s="787"/>
      <c r="B150" s="787"/>
      <c r="C150" s="803"/>
      <c r="D150" s="1965"/>
      <c r="E150" s="1965"/>
      <c r="F150" s="1965"/>
      <c r="G150" s="671"/>
      <c r="I150" s="621"/>
    </row>
    <row r="151" spans="1:9" s="721" customFormat="1" ht="13.75" customHeight="1">
      <c r="A151" s="787"/>
      <c r="B151" s="787"/>
      <c r="C151" s="803"/>
      <c r="D151" s="1965"/>
      <c r="E151" s="1965"/>
      <c r="F151" s="1965"/>
      <c r="G151" s="671"/>
      <c r="I151" s="621"/>
    </row>
    <row r="152" spans="1:9" s="721" customFormat="1" ht="13.75" customHeight="1">
      <c r="A152" s="787"/>
      <c r="B152" s="787"/>
      <c r="C152" s="803"/>
      <c r="D152" s="1965"/>
      <c r="E152" s="1965"/>
      <c r="F152" s="1965"/>
      <c r="G152" s="671"/>
      <c r="I152" s="621"/>
    </row>
    <row r="153" spans="1:9" s="721" customFormat="1" ht="13.75" customHeight="1">
      <c r="A153" s="787"/>
      <c r="B153" s="787"/>
      <c r="C153" s="803"/>
      <c r="D153" s="1965"/>
      <c r="E153" s="1965"/>
      <c r="F153" s="1965"/>
      <c r="G153" s="671"/>
      <c r="I153" s="621"/>
    </row>
    <row r="154" spans="1:9" s="721" customFormat="1" ht="13.75" customHeight="1">
      <c r="A154" s="787"/>
      <c r="B154" s="787"/>
      <c r="C154" s="803"/>
      <c r="D154" s="1965"/>
      <c r="E154" s="1965"/>
      <c r="F154" s="1965"/>
      <c r="G154" s="671"/>
      <c r="I154" s="621"/>
    </row>
    <row r="155" spans="1:9" s="721" customFormat="1" ht="13.75" customHeight="1">
      <c r="A155" s="787"/>
      <c r="B155" s="787"/>
      <c r="C155" s="803"/>
      <c r="D155" s="1965"/>
      <c r="E155" s="1965"/>
      <c r="F155" s="1965"/>
      <c r="G155" s="671"/>
      <c r="I155" s="621"/>
    </row>
    <row r="156" spans="1:9" s="721" customFormat="1" ht="13.75" customHeight="1">
      <c r="A156" s="787"/>
      <c r="B156" s="787"/>
      <c r="C156" s="803"/>
      <c r="D156" s="1965"/>
      <c r="E156" s="1965"/>
      <c r="F156" s="1965"/>
      <c r="G156" s="671"/>
      <c r="I156" s="621"/>
    </row>
    <row r="157" spans="1:9" s="721" customFormat="1" ht="13.75" customHeight="1">
      <c r="A157" s="787"/>
      <c r="B157" s="787"/>
      <c r="C157" s="803"/>
      <c r="D157" s="1965"/>
      <c r="E157" s="1965"/>
      <c r="F157" s="1965"/>
      <c r="G157" s="671"/>
      <c r="I157" s="621"/>
    </row>
    <row r="158" spans="1:9" s="721" customFormat="1" ht="13.75" customHeight="1">
      <c r="A158" s="787"/>
      <c r="B158" s="787"/>
      <c r="C158" s="803"/>
      <c r="D158" s="1965"/>
      <c r="E158" s="1965"/>
      <c r="F158" s="1965"/>
      <c r="G158" s="671"/>
      <c r="I158" s="621"/>
    </row>
    <row r="159" spans="1:9" s="721" customFormat="1" ht="13.75" customHeight="1">
      <c r="A159" s="787"/>
      <c r="B159" s="787"/>
      <c r="C159" s="803"/>
      <c r="D159" s="1965"/>
      <c r="E159" s="1965"/>
      <c r="F159" s="1965"/>
      <c r="G159" s="671"/>
      <c r="I159" s="621"/>
    </row>
    <row r="160" spans="1:9" s="721" customFormat="1" ht="13.75" customHeight="1">
      <c r="A160" s="787"/>
      <c r="B160" s="787"/>
      <c r="C160" s="803"/>
      <c r="D160" s="1965"/>
      <c r="E160" s="1965"/>
      <c r="F160" s="1965"/>
      <c r="G160" s="671"/>
      <c r="I160" s="621"/>
    </row>
    <row r="161" spans="1:9" s="721" customFormat="1" ht="13.75" customHeight="1">
      <c r="A161" s="787"/>
      <c r="B161" s="787"/>
      <c r="C161" s="803"/>
      <c r="D161" s="1965"/>
      <c r="E161" s="1965"/>
      <c r="F161" s="1965"/>
      <c r="G161" s="671"/>
      <c r="I161" s="621"/>
    </row>
    <row r="162" spans="1:9" s="721" customFormat="1" ht="13.75" customHeight="1">
      <c r="A162" s="787"/>
      <c r="B162" s="787"/>
      <c r="C162" s="803"/>
      <c r="D162" s="1965"/>
      <c r="E162" s="1965"/>
      <c r="F162" s="1965"/>
      <c r="G162" s="671"/>
      <c r="I162" s="621"/>
    </row>
    <row r="163" spans="1:9" s="721" customFormat="1" ht="13.75" customHeight="1">
      <c r="A163" s="787"/>
      <c r="B163" s="787"/>
      <c r="C163" s="803"/>
      <c r="D163" s="1986" t="s">
        <v>1405</v>
      </c>
      <c r="E163" s="1986"/>
      <c r="F163" s="1986"/>
      <c r="G163" s="855"/>
      <c r="I163" s="621"/>
    </row>
    <row r="164" spans="1:9" s="721" customFormat="1" ht="13.75" customHeight="1">
      <c r="A164" s="787"/>
      <c r="B164" s="787"/>
      <c r="C164" s="803"/>
      <c r="D164" s="1985"/>
      <c r="E164" s="1985"/>
      <c r="F164" s="1985"/>
      <c r="G164" s="1985"/>
      <c r="I164" s="621"/>
    </row>
    <row r="165" spans="1:9" s="721" customFormat="1" ht="14.5" customHeight="1">
      <c r="A165" s="812"/>
      <c r="B165" s="797" t="s">
        <v>2659</v>
      </c>
      <c r="C165" s="813"/>
      <c r="D165" s="1922" t="s">
        <v>1433</v>
      </c>
      <c r="E165" s="1922"/>
      <c r="F165" s="1922"/>
      <c r="G165" s="814"/>
      <c r="I165" s="621" t="s">
        <v>2423</v>
      </c>
    </row>
    <row r="166" spans="1:9" s="721" customFormat="1" ht="14.5" customHeight="1">
      <c r="A166" s="812"/>
      <c r="B166" s="812"/>
      <c r="C166" s="813"/>
      <c r="D166" s="1922"/>
      <c r="E166" s="1922"/>
      <c r="F166" s="1922"/>
      <c r="G166" s="814"/>
      <c r="I166" s="621"/>
    </row>
    <row r="167" spans="1:9" s="721" customFormat="1" ht="13.75" customHeight="1">
      <c r="A167" s="812"/>
      <c r="B167" s="812"/>
      <c r="C167" s="813"/>
      <c r="D167" s="1922"/>
      <c r="E167" s="1922"/>
      <c r="F167" s="1922"/>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2659</v>
      </c>
      <c r="C169" s="813"/>
      <c r="D169" s="1865" t="s">
        <v>1265</v>
      </c>
      <c r="E169" s="1865"/>
      <c r="F169" s="1865"/>
      <c r="G169" s="814"/>
      <c r="I169" s="621" t="s">
        <v>2429</v>
      </c>
    </row>
    <row r="170" spans="1:9" s="721" customFormat="1" ht="13.75" customHeight="1">
      <c r="A170" s="812"/>
      <c r="B170" s="812"/>
      <c r="C170" s="813"/>
      <c r="D170" s="1865"/>
      <c r="E170" s="1865"/>
      <c r="F170" s="1865"/>
      <c r="G170" s="814"/>
      <c r="I170" s="621"/>
    </row>
    <row r="171" spans="1:9" s="721" customFormat="1" ht="13.75" customHeight="1">
      <c r="A171" s="812"/>
      <c r="B171" s="812"/>
      <c r="C171" s="813"/>
      <c r="D171" s="1865"/>
      <c r="E171" s="1865"/>
      <c r="F171" s="1865"/>
      <c r="G171" s="814"/>
      <c r="I171" s="621"/>
    </row>
    <row r="172" spans="1:9" s="721" customFormat="1" ht="13.75" customHeight="1">
      <c r="A172" s="812"/>
      <c r="B172" s="812"/>
      <c r="C172" s="813"/>
      <c r="D172" s="1865"/>
      <c r="E172" s="1865"/>
      <c r="F172" s="1865"/>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2659</v>
      </c>
      <c r="C174" s="803"/>
      <c r="D174" s="1910" t="s">
        <v>1266</v>
      </c>
      <c r="E174" s="1910"/>
      <c r="F174" s="1910"/>
      <c r="G174" s="671"/>
      <c r="I174" s="621" t="s">
        <v>2430</v>
      </c>
    </row>
    <row r="175" spans="1:9" s="721" customFormat="1" ht="13.75" customHeight="1">
      <c r="A175" s="787"/>
      <c r="B175" s="787"/>
      <c r="C175" s="803"/>
      <c r="D175" s="1910"/>
      <c r="E175" s="1910"/>
      <c r="F175" s="1910"/>
      <c r="G175" s="671"/>
      <c r="I175" s="621"/>
    </row>
    <row r="176" spans="1:9" s="721" customFormat="1" ht="13.75" customHeight="1">
      <c r="A176" s="787"/>
      <c r="B176" s="787"/>
      <c r="C176" s="803"/>
      <c r="D176" s="1910"/>
      <c r="E176" s="1910"/>
      <c r="F176" s="1910"/>
      <c r="G176" s="671"/>
      <c r="I176" s="621"/>
    </row>
    <row r="177" spans="1:9" s="721" customFormat="1" ht="13.75" customHeight="1">
      <c r="A177" s="815"/>
      <c r="B177" s="815"/>
      <c r="C177" s="803"/>
      <c r="D177" s="788"/>
      <c r="E177" s="784"/>
      <c r="F177" s="784"/>
      <c r="G177" s="671"/>
      <c r="I177" s="621"/>
    </row>
    <row r="178" spans="1:9">
      <c r="A178" s="1888" t="s">
        <v>2405</v>
      </c>
      <c r="B178" s="1888"/>
      <c r="C178" s="1888"/>
      <c r="D178" s="1888"/>
      <c r="E178" s="1888"/>
      <c r="F178" s="1888"/>
      <c r="G178" s="1888"/>
      <c r="H178" s="1852"/>
      <c r="I178" s="1853"/>
    </row>
    <row r="179" spans="1:9" ht="12" customHeight="1">
      <c r="D179" s="799"/>
      <c r="E179" s="799"/>
      <c r="F179" s="799"/>
    </row>
    <row r="180" spans="1:9">
      <c r="B180" s="1960" t="s">
        <v>469</v>
      </c>
      <c r="C180" s="1960"/>
      <c r="D180" s="1960"/>
      <c r="E180" s="1960"/>
      <c r="F180" s="1960"/>
    </row>
    <row r="181" spans="1:9" s="1771" customFormat="1">
      <c r="A181" s="787"/>
      <c r="B181" s="1830" t="s">
        <v>2406</v>
      </c>
      <c r="C181" s="1830"/>
      <c r="D181" s="1830"/>
      <c r="E181" s="1830"/>
      <c r="F181" s="1830"/>
      <c r="G181" s="1770"/>
      <c r="I181" s="1773"/>
    </row>
    <row r="182" spans="1:9" ht="12" customHeight="1">
      <c r="A182" s="792"/>
      <c r="B182" s="792"/>
      <c r="C182" s="792"/>
    </row>
    <row r="183" spans="1:9">
      <c r="A183" s="1888" t="s">
        <v>1161</v>
      </c>
      <c r="B183" s="1888"/>
      <c r="C183" s="1888"/>
      <c r="D183" s="1888"/>
      <c r="E183" s="1888"/>
      <c r="F183" s="1888"/>
      <c r="G183" s="1888"/>
      <c r="H183" s="1852"/>
      <c r="I183" s="1853"/>
    </row>
    <row r="184" spans="1:9" ht="12" customHeight="1">
      <c r="A184" s="816"/>
      <c r="B184" s="816"/>
      <c r="C184" s="817"/>
      <c r="D184" s="818"/>
      <c r="E184" s="819"/>
      <c r="F184" s="818"/>
      <c r="G184" s="818"/>
    </row>
    <row r="185" spans="1:9" ht="13.75" customHeight="1">
      <c r="A185" s="816"/>
      <c r="B185" s="816"/>
      <c r="C185" s="817"/>
      <c r="D185" s="1924" t="s">
        <v>2246</v>
      </c>
      <c r="E185" s="1924"/>
      <c r="F185" s="1924"/>
      <c r="G185" s="818"/>
    </row>
    <row r="186" spans="1:9">
      <c r="A186" s="816"/>
      <c r="B186" s="816"/>
      <c r="C186" s="817"/>
      <c r="D186" s="1924"/>
      <c r="E186" s="1924"/>
      <c r="F186" s="1924"/>
      <c r="G186" s="818"/>
    </row>
    <row r="187" spans="1:9">
      <c r="A187" s="816"/>
      <c r="B187" s="816"/>
      <c r="C187" s="817"/>
      <c r="D187" s="1925" t="s">
        <v>1398</v>
      </c>
      <c r="E187" s="1925"/>
      <c r="F187" s="1925"/>
      <c r="G187" s="818"/>
    </row>
    <row r="188" spans="1:9">
      <c r="A188" s="816"/>
      <c r="B188" s="816"/>
      <c r="C188" s="817"/>
      <c r="D188" s="1712"/>
      <c r="E188" s="1712"/>
      <c r="F188" s="1712"/>
      <c r="G188" s="818"/>
    </row>
    <row r="189" spans="1:9">
      <c r="A189" s="816"/>
      <c r="B189" s="797" t="s">
        <v>2659</v>
      </c>
      <c r="C189" s="817"/>
      <c r="D189" s="1887" t="s">
        <v>2247</v>
      </c>
      <c r="E189" s="1887"/>
      <c r="F189" s="1887"/>
      <c r="G189" s="818"/>
      <c r="I189" s="1773" t="s">
        <v>2479</v>
      </c>
    </row>
    <row r="190" spans="1:9">
      <c r="A190" s="816"/>
      <c r="B190" s="816"/>
      <c r="C190" s="817"/>
      <c r="D190" s="1891" t="s">
        <v>2248</v>
      </c>
      <c r="E190" s="1891"/>
      <c r="F190" s="1891"/>
      <c r="G190" s="818"/>
    </row>
    <row r="191" spans="1:9">
      <c r="A191" s="816"/>
      <c r="B191" s="816"/>
      <c r="C191" s="817"/>
      <c r="D191" s="1729" t="s">
        <v>2249</v>
      </c>
      <c r="E191" s="1978" t="s">
        <v>2250</v>
      </c>
      <c r="F191" s="1978"/>
      <c r="G191" s="818"/>
    </row>
    <row r="192" spans="1:9">
      <c r="A192" s="816"/>
      <c r="B192" s="816"/>
      <c r="C192" s="817"/>
      <c r="D192" s="155"/>
      <c r="E192" s="155"/>
      <c r="F192" s="155"/>
      <c r="G192" s="818"/>
    </row>
    <row r="193" spans="1:9">
      <c r="A193" s="816"/>
      <c r="B193" s="797" t="s">
        <v>2659</v>
      </c>
      <c r="C193" s="817"/>
      <c r="D193" s="1891" t="s">
        <v>2251</v>
      </c>
      <c r="E193" s="1891"/>
      <c r="F193" s="1891"/>
      <c r="G193" s="818"/>
      <c r="I193" s="1773" t="s">
        <v>2480</v>
      </c>
    </row>
    <row r="194" spans="1:9">
      <c r="A194" s="816"/>
      <c r="B194" s="816"/>
      <c r="C194" s="817"/>
      <c r="D194" s="1887" t="s">
        <v>2248</v>
      </c>
      <c r="E194" s="1887"/>
      <c r="F194" s="1887"/>
      <c r="G194" s="818"/>
    </row>
    <row r="195" spans="1:9">
      <c r="A195" s="816"/>
      <c r="B195" s="816"/>
      <c r="C195" s="817"/>
      <c r="D195" s="1710" t="s">
        <v>2252</v>
      </c>
      <c r="E195" s="1983" t="s">
        <v>2253</v>
      </c>
      <c r="F195" s="1983"/>
      <c r="G195" s="818"/>
    </row>
    <row r="196" spans="1:9">
      <c r="A196" s="816"/>
      <c r="B196" s="816"/>
      <c r="C196" s="817"/>
      <c r="D196" s="155"/>
      <c r="E196" s="155"/>
      <c r="F196" s="155"/>
      <c r="G196" s="818"/>
    </row>
    <row r="197" spans="1:9">
      <c r="A197" s="816"/>
      <c r="B197" s="797" t="s">
        <v>2658</v>
      </c>
      <c r="C197" s="817"/>
      <c r="D197" s="1891" t="s">
        <v>2254</v>
      </c>
      <c r="E197" s="1891"/>
      <c r="F197" s="1891"/>
      <c r="G197" s="818"/>
      <c r="I197" s="1773" t="s">
        <v>2481</v>
      </c>
    </row>
    <row r="198" spans="1:9">
      <c r="A198" s="816"/>
      <c r="B198" s="816"/>
      <c r="C198" s="817"/>
      <c r="D198" s="1707" t="s">
        <v>2248</v>
      </c>
      <c r="E198" s="155"/>
      <c r="F198" s="155"/>
      <c r="G198" s="818"/>
    </row>
    <row r="199" spans="1:9">
      <c r="A199" s="816"/>
      <c r="B199" s="816"/>
      <c r="C199" s="817"/>
      <c r="D199" s="1710" t="s">
        <v>2249</v>
      </c>
      <c r="E199" s="1983" t="s">
        <v>2255</v>
      </c>
      <c r="F199" s="1983"/>
      <c r="G199" s="818"/>
    </row>
    <row r="200" spans="1:9">
      <c r="A200" s="816"/>
      <c r="B200" s="816"/>
      <c r="C200" s="817"/>
      <c r="D200" s="1712"/>
      <c r="E200" s="1712"/>
      <c r="F200" s="1712"/>
      <c r="G200" s="818"/>
    </row>
    <row r="201" spans="1:9">
      <c r="A201" s="796"/>
      <c r="B201" s="797" t="s">
        <v>2659</v>
      </c>
      <c r="C201" s="817"/>
      <c r="D201" s="1923" t="s">
        <v>2256</v>
      </c>
      <c r="E201" s="1923"/>
      <c r="F201" s="1923"/>
      <c r="G201" s="818"/>
      <c r="I201" s="1773" t="s">
        <v>2482</v>
      </c>
    </row>
    <row r="202" spans="1:9">
      <c r="A202" s="796"/>
      <c r="B202" s="796"/>
      <c r="C202" s="817"/>
      <c r="D202" s="1923"/>
      <c r="E202" s="1923"/>
      <c r="F202" s="1923"/>
      <c r="G202" s="818"/>
    </row>
    <row r="203" spans="1:9">
      <c r="A203" s="817"/>
      <c r="B203" s="817"/>
      <c r="C203" s="817"/>
      <c r="D203" s="1923"/>
      <c r="E203" s="1923"/>
      <c r="F203" s="1923"/>
    </row>
    <row r="204" spans="1:9">
      <c r="A204" s="817"/>
      <c r="B204" s="817"/>
      <c r="C204" s="817"/>
      <c r="D204" s="802"/>
      <c r="E204" s="818"/>
      <c r="F204" s="818"/>
    </row>
    <row r="205" spans="1:9">
      <c r="A205" s="817"/>
      <c r="B205" s="797" t="s">
        <v>2659</v>
      </c>
      <c r="C205" s="817"/>
      <c r="D205" s="1891" t="s">
        <v>2257</v>
      </c>
      <c r="E205" s="1891"/>
      <c r="F205" s="1891"/>
      <c r="I205" s="1773" t="s">
        <v>2483</v>
      </c>
    </row>
    <row r="206" spans="1:9">
      <c r="A206" s="817"/>
      <c r="B206" s="817"/>
      <c r="C206" s="817"/>
      <c r="D206" s="1891" t="s">
        <v>2248</v>
      </c>
      <c r="E206" s="1891"/>
      <c r="F206" s="1891"/>
    </row>
    <row r="207" spans="1:9">
      <c r="A207" s="817"/>
      <c r="B207" s="817"/>
      <c r="C207" s="817"/>
      <c r="D207" s="1710" t="s">
        <v>2249</v>
      </c>
      <c r="E207" s="1983" t="s">
        <v>2258</v>
      </c>
      <c r="F207" s="1983"/>
    </row>
    <row r="208" spans="1:9">
      <c r="A208" s="817"/>
      <c r="B208" s="817"/>
      <c r="C208" s="817"/>
      <c r="D208" s="778"/>
      <c r="E208" s="778"/>
      <c r="F208" s="778"/>
    </row>
    <row r="209" spans="1:9" s="617" customFormat="1">
      <c r="A209" s="796"/>
      <c r="B209" s="797" t="s">
        <v>2659</v>
      </c>
      <c r="C209" s="805"/>
      <c r="D209" s="1923" t="s">
        <v>1424</v>
      </c>
      <c r="E209" s="1923"/>
      <c r="F209" s="1923"/>
      <c r="G209" s="692"/>
      <c r="I209" s="641"/>
    </row>
    <row r="210" spans="1:9" s="617" customFormat="1" ht="14.5" customHeight="1">
      <c r="A210" s="796"/>
      <c r="C210" s="805"/>
      <c r="D210" s="1923"/>
      <c r="E210" s="1923"/>
      <c r="F210" s="1923"/>
      <c r="G210" s="692"/>
      <c r="I210" s="641"/>
    </row>
    <row r="211" spans="1:9" s="617" customFormat="1">
      <c r="A211" s="796"/>
      <c r="B211" s="817"/>
      <c r="C211" s="805"/>
      <c r="D211" s="1923"/>
      <c r="E211" s="1923"/>
      <c r="F211" s="1923"/>
      <c r="G211" s="692"/>
      <c r="I211" s="641"/>
    </row>
    <row r="212" spans="1:9" s="617" customFormat="1">
      <c r="A212" s="796"/>
      <c r="B212" s="817"/>
      <c r="C212" s="805"/>
      <c r="D212" s="1923"/>
      <c r="E212" s="1923"/>
      <c r="F212" s="1923"/>
      <c r="G212" s="692"/>
      <c r="I212" s="641"/>
    </row>
    <row r="213" spans="1:9">
      <c r="A213" s="817"/>
      <c r="B213" s="817"/>
      <c r="C213" s="817"/>
      <c r="D213" s="778"/>
      <c r="E213" s="778"/>
      <c r="F213" s="778"/>
    </row>
    <row r="214" spans="1:9">
      <c r="A214" s="1888" t="s">
        <v>1162</v>
      </c>
      <c r="B214" s="1888"/>
      <c r="C214" s="1888"/>
      <c r="D214" s="1888"/>
      <c r="E214" s="1888"/>
      <c r="F214" s="1888"/>
      <c r="G214" s="1888"/>
      <c r="H214" s="1852"/>
      <c r="I214" s="1853"/>
    </row>
    <row r="215" spans="1:9" ht="12" customHeight="1">
      <c r="D215" s="799"/>
      <c r="E215" s="799"/>
      <c r="F215" s="799"/>
    </row>
    <row r="216" spans="1:9">
      <c r="C216" s="806"/>
      <c r="D216" s="1982" t="s">
        <v>213</v>
      </c>
      <c r="E216" s="1982"/>
      <c r="F216" s="1982"/>
    </row>
    <row r="217" spans="1:9">
      <c r="A217" s="792"/>
      <c r="B217" s="792"/>
      <c r="C217" s="792"/>
      <c r="D217" s="1962" t="s">
        <v>1291</v>
      </c>
      <c r="E217" s="1962"/>
      <c r="F217" s="1962"/>
    </row>
    <row r="218" spans="1:9" ht="12" customHeight="1">
      <c r="A218" s="815"/>
      <c r="B218" s="815"/>
      <c r="C218" s="815"/>
    </row>
    <row r="219" spans="1:9" ht="13.75" customHeight="1">
      <c r="A219" s="815"/>
      <c r="C219" s="815"/>
      <c r="D219" s="1878" t="s">
        <v>578</v>
      </c>
      <c r="E219" s="1878"/>
      <c r="F219" s="1878"/>
      <c r="I219" s="1773" t="s">
        <v>2431</v>
      </c>
    </row>
    <row r="220" spans="1:9">
      <c r="A220" s="796"/>
      <c r="B220" s="797" t="s">
        <v>2658</v>
      </c>
      <c r="D220" s="1923" t="s">
        <v>2259</v>
      </c>
      <c r="E220" s="1923"/>
      <c r="F220" s="1923"/>
    </row>
    <row r="221" spans="1:9" ht="14.25" customHeight="1">
      <c r="A221" s="796"/>
      <c r="B221" s="796"/>
      <c r="D221" s="1923"/>
      <c r="E221" s="1923"/>
      <c r="F221" s="1923"/>
    </row>
    <row r="222" spans="1:9" ht="14.25" customHeight="1">
      <c r="A222" s="796"/>
      <c r="B222" s="796"/>
      <c r="D222" s="1923"/>
      <c r="E222" s="1923"/>
      <c r="F222" s="1923"/>
    </row>
    <row r="223" spans="1:9">
      <c r="A223" s="796"/>
      <c r="B223" s="796"/>
      <c r="D223" s="1923"/>
      <c r="E223" s="1923"/>
      <c r="F223" s="1923"/>
    </row>
    <row r="224" spans="1:9">
      <c r="A224" s="796"/>
      <c r="B224" s="796"/>
      <c r="D224" s="1711"/>
      <c r="E224" s="1711"/>
      <c r="F224" s="1711"/>
    </row>
    <row r="225" spans="1:9">
      <c r="A225" s="796"/>
      <c r="B225" s="797" t="s">
        <v>2658</v>
      </c>
      <c r="D225" s="1923" t="s">
        <v>2260</v>
      </c>
      <c r="E225" s="1923"/>
      <c r="F225" s="1923"/>
      <c r="I225" s="1773" t="s">
        <v>2432</v>
      </c>
    </row>
    <row r="226" spans="1:9">
      <c r="A226" s="796"/>
      <c r="B226" s="796"/>
      <c r="D226" s="1923"/>
      <c r="E226" s="1923"/>
      <c r="F226" s="1923"/>
    </row>
    <row r="227" spans="1:9">
      <c r="A227" s="796"/>
      <c r="B227" s="796"/>
      <c r="D227" s="1923"/>
      <c r="E227" s="1923"/>
      <c r="F227" s="1923"/>
    </row>
    <row r="228" spans="1:9">
      <c r="A228" s="796"/>
      <c r="B228" s="796"/>
      <c r="D228" s="1923"/>
      <c r="E228" s="1923"/>
      <c r="F228" s="1923"/>
    </row>
    <row r="229" spans="1:9" ht="14.25" customHeight="1">
      <c r="A229" s="796"/>
      <c r="B229" s="796"/>
      <c r="D229" s="1923"/>
      <c r="E229" s="1923"/>
      <c r="F229" s="1923"/>
    </row>
    <row r="230" spans="1:9" ht="14.25" customHeight="1">
      <c r="A230" s="796"/>
      <c r="B230" s="796"/>
      <c r="D230" s="1711"/>
      <c r="E230" s="1711"/>
      <c r="F230" s="1711"/>
    </row>
    <row r="231" spans="1:9">
      <c r="A231" s="796"/>
      <c r="B231" s="796"/>
      <c r="D231" s="1923" t="s">
        <v>1287</v>
      </c>
      <c r="E231" s="1923"/>
      <c r="F231" s="1923"/>
      <c r="I231" s="1773" t="s">
        <v>2431</v>
      </c>
    </row>
    <row r="232" spans="1:9">
      <c r="A232" s="796"/>
      <c r="B232" s="796"/>
      <c r="D232" s="1923"/>
      <c r="E232" s="1923"/>
      <c r="F232" s="1923"/>
    </row>
    <row r="233" spans="1:9">
      <c r="A233" s="796"/>
      <c r="B233" s="796"/>
      <c r="D233" s="1923"/>
      <c r="E233" s="1923"/>
      <c r="F233" s="1923"/>
    </row>
    <row r="234" spans="1:9">
      <c r="A234" s="796"/>
      <c r="B234" s="796"/>
      <c r="D234" s="1923"/>
      <c r="E234" s="1923"/>
      <c r="F234" s="1923"/>
    </row>
    <row r="235" spans="1:9">
      <c r="A235" s="796"/>
      <c r="B235" s="796"/>
      <c r="D235" s="1923"/>
      <c r="E235" s="1923"/>
      <c r="F235" s="1923"/>
    </row>
    <row r="236" spans="1:9">
      <c r="A236" s="796"/>
      <c r="B236" s="796"/>
      <c r="D236" s="799"/>
      <c r="E236" s="799"/>
      <c r="F236" s="799"/>
    </row>
    <row r="237" spans="1:9">
      <c r="A237" s="796"/>
      <c r="B237" s="797" t="s">
        <v>2659</v>
      </c>
      <c r="D237" s="1959" t="s">
        <v>2264</v>
      </c>
      <c r="E237" s="1959"/>
      <c r="F237" s="1959"/>
      <c r="I237" s="1773" t="s">
        <v>2470</v>
      </c>
    </row>
    <row r="238" spans="1:9">
      <c r="A238" s="796"/>
      <c r="B238" s="796"/>
      <c r="D238" s="1959"/>
      <c r="E238" s="1959"/>
      <c r="F238" s="1959"/>
    </row>
    <row r="239" spans="1:9">
      <c r="A239" s="796"/>
      <c r="B239" s="796"/>
      <c r="D239" s="1959"/>
      <c r="E239" s="1959"/>
      <c r="F239" s="1959"/>
    </row>
    <row r="240" spans="1:9">
      <c r="A240" s="796"/>
      <c r="B240" s="796"/>
      <c r="D240" s="1960" t="s">
        <v>962</v>
      </c>
      <c r="E240" s="1960"/>
      <c r="F240" s="1960"/>
    </row>
    <row r="241" spans="1:9">
      <c r="A241" s="796"/>
      <c r="B241" s="796"/>
      <c r="D241" s="799"/>
      <c r="E241" s="799"/>
      <c r="F241" s="799"/>
    </row>
    <row r="242" spans="1:9" ht="14.5" customHeight="1">
      <c r="A242" s="796"/>
      <c r="B242" s="797" t="s">
        <v>2659</v>
      </c>
      <c r="D242" s="1959" t="s">
        <v>1290</v>
      </c>
      <c r="E242" s="1959"/>
      <c r="F242" s="1959"/>
      <c r="I242" s="1773" t="s">
        <v>2490</v>
      </c>
    </row>
    <row r="243" spans="1:9">
      <c r="A243" s="796"/>
      <c r="B243" s="796"/>
      <c r="D243" s="1959"/>
      <c r="E243" s="1959"/>
      <c r="F243" s="1959"/>
    </row>
    <row r="244" spans="1:9">
      <c r="A244" s="796"/>
      <c r="B244" s="796"/>
      <c r="D244" s="1959"/>
      <c r="E244" s="1959"/>
      <c r="F244" s="1959"/>
    </row>
    <row r="245" spans="1:9">
      <c r="A245" s="796"/>
      <c r="B245" s="796"/>
      <c r="D245" s="1959"/>
      <c r="E245" s="1959"/>
      <c r="F245" s="1959"/>
    </row>
    <row r="246" spans="1:9">
      <c r="A246" s="796"/>
      <c r="B246" s="796"/>
      <c r="D246" s="1959"/>
      <c r="E246" s="1959"/>
      <c r="F246" s="1959"/>
    </row>
    <row r="247" spans="1:9">
      <c r="A247" s="796"/>
      <c r="B247" s="796"/>
      <c r="D247" s="1723"/>
      <c r="E247" s="1723"/>
      <c r="F247" s="1723"/>
    </row>
    <row r="248" spans="1:9">
      <c r="A248" s="796"/>
      <c r="B248" s="797" t="s">
        <v>2658</v>
      </c>
      <c r="D248" s="1722" t="s">
        <v>2261</v>
      </c>
      <c r="E248" s="1723"/>
      <c r="F248" s="1723"/>
      <c r="I248" s="1773" t="s">
        <v>2469</v>
      </c>
    </row>
    <row r="249" spans="1:9">
      <c r="A249" s="796"/>
      <c r="B249" s="796"/>
      <c r="D249" s="1722"/>
      <c r="E249" s="1730" t="s">
        <v>2262</v>
      </c>
      <c r="F249" s="1723"/>
    </row>
    <row r="250" spans="1:9">
      <c r="D250" s="799"/>
      <c r="E250" s="799"/>
      <c r="F250" s="799"/>
    </row>
    <row r="251" spans="1:9">
      <c r="A251" s="796"/>
      <c r="B251" s="797" t="s">
        <v>2658</v>
      </c>
      <c r="D251" s="1923" t="s">
        <v>1289</v>
      </c>
      <c r="E251" s="1923"/>
      <c r="F251" s="1923"/>
    </row>
    <row r="252" spans="1:9">
      <c r="A252" s="796"/>
      <c r="B252" s="796"/>
      <c r="D252" s="1923"/>
      <c r="E252" s="1923"/>
      <c r="F252" s="1923"/>
    </row>
    <row r="253" spans="1:9">
      <c r="D253" s="820"/>
    </row>
    <row r="254" spans="1:9">
      <c r="A254" s="1888" t="s">
        <v>1163</v>
      </c>
      <c r="B254" s="1888"/>
      <c r="C254" s="1888"/>
      <c r="D254" s="1888"/>
      <c r="E254" s="1888"/>
      <c r="F254" s="1888"/>
      <c r="G254" s="1888"/>
      <c r="H254" s="1852"/>
      <c r="I254" s="1853"/>
    </row>
    <row r="255" spans="1:9">
      <c r="D255" s="820"/>
    </row>
    <row r="256" spans="1:9">
      <c r="C256" s="806"/>
      <c r="D256" s="1878" t="s">
        <v>1292</v>
      </c>
      <c r="E256" s="1878"/>
      <c r="F256" s="1878"/>
    </row>
    <row r="257" spans="1:9">
      <c r="A257" s="792"/>
      <c r="B257" s="792"/>
      <c r="C257" s="792"/>
      <c r="D257" s="799"/>
      <c r="E257" s="799"/>
      <c r="F257" s="799"/>
    </row>
    <row r="258" spans="1:9">
      <c r="A258" s="794"/>
      <c r="B258" s="794"/>
      <c r="C258" s="794"/>
      <c r="D258" s="1878" t="s">
        <v>274</v>
      </c>
      <c r="E258" s="1878"/>
      <c r="F258" s="1878"/>
      <c r="I258" s="1773" t="s">
        <v>2471</v>
      </c>
    </row>
    <row r="259" spans="1:9" ht="14.5" customHeight="1">
      <c r="A259" s="796"/>
      <c r="B259" s="797" t="s">
        <v>2658</v>
      </c>
      <c r="D259" s="1991" t="s">
        <v>1399</v>
      </c>
      <c r="E259" s="1991"/>
      <c r="F259" s="1991"/>
    </row>
    <row r="260" spans="1:9">
      <c r="D260" s="1991"/>
      <c r="E260" s="1991"/>
      <c r="F260" s="1991"/>
    </row>
    <row r="261" spans="1:9">
      <c r="D261" s="1962" t="s">
        <v>953</v>
      </c>
      <c r="E261" s="1962"/>
      <c r="F261" s="1962"/>
    </row>
    <row r="262" spans="1:9">
      <c r="D262" s="799"/>
      <c r="E262" s="799"/>
      <c r="F262" s="799"/>
    </row>
    <row r="263" spans="1:9" ht="14.5" customHeight="1">
      <c r="A263" s="796"/>
      <c r="B263" s="797" t="s">
        <v>2659</v>
      </c>
      <c r="D263" s="1959" t="s">
        <v>2263</v>
      </c>
      <c r="E263" s="1959"/>
      <c r="F263" s="1959"/>
      <c r="I263" s="1773" t="s">
        <v>2491</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799"/>
      <c r="E269" s="799"/>
      <c r="F269" s="799"/>
    </row>
    <row r="270" spans="1:9">
      <c r="A270" s="796"/>
      <c r="B270" s="797" t="s">
        <v>2659</v>
      </c>
      <c r="D270" s="1923" t="s">
        <v>1295</v>
      </c>
      <c r="E270" s="1923"/>
      <c r="F270" s="1923"/>
    </row>
    <row r="271" spans="1:9">
      <c r="D271" s="1923"/>
      <c r="E271" s="1923"/>
      <c r="F271" s="1923"/>
    </row>
    <row r="272" spans="1:9">
      <c r="D272" s="1923"/>
      <c r="E272" s="1923"/>
      <c r="F272" s="1923"/>
    </row>
    <row r="273" spans="1:9">
      <c r="D273" s="821"/>
      <c r="E273" s="799"/>
      <c r="F273" s="799"/>
    </row>
    <row r="274" spans="1:9">
      <c r="A274" s="1888" t="s">
        <v>1164</v>
      </c>
      <c r="B274" s="1888"/>
      <c r="C274" s="1888"/>
      <c r="D274" s="1888"/>
      <c r="E274" s="1888"/>
      <c r="F274" s="1888"/>
      <c r="G274" s="1888"/>
      <c r="H274" s="1852"/>
      <c r="I274" s="1853"/>
    </row>
    <row r="275" spans="1:9">
      <c r="D275" s="821"/>
      <c r="E275" s="799"/>
      <c r="F275" s="799"/>
    </row>
    <row r="276" spans="1:9">
      <c r="C276" s="792"/>
      <c r="D276" s="1961" t="s">
        <v>1297</v>
      </c>
      <c r="E276" s="1961"/>
      <c r="F276" s="1961"/>
    </row>
    <row r="277" spans="1:9">
      <c r="C277" s="792"/>
      <c r="D277" s="1961"/>
      <c r="E277" s="1961"/>
      <c r="F277" s="1961"/>
    </row>
    <row r="278" spans="1:9">
      <c r="A278" s="794"/>
      <c r="B278" s="794"/>
      <c r="C278" s="794"/>
      <c r="D278" s="621"/>
      <c r="E278" s="671"/>
      <c r="F278" s="671"/>
    </row>
    <row r="279" spans="1:9">
      <c r="C279" s="794"/>
      <c r="D279" s="1878" t="s">
        <v>214</v>
      </c>
      <c r="E279" s="1878"/>
      <c r="F279" s="1878"/>
    </row>
    <row r="280" spans="1:9" ht="15.75" customHeight="1">
      <c r="A280" s="796"/>
      <c r="B280" s="796"/>
      <c r="D280" s="1971" t="s">
        <v>1298</v>
      </c>
      <c r="E280" s="1971"/>
      <c r="F280" s="1971"/>
    </row>
    <row r="281" spans="1:9">
      <c r="E281" s="799"/>
      <c r="F281" s="799"/>
    </row>
    <row r="282" spans="1:9">
      <c r="A282" s="796"/>
      <c r="B282" s="797" t="s">
        <v>2659</v>
      </c>
      <c r="D282" s="1923" t="s">
        <v>1299</v>
      </c>
      <c r="E282" s="1923"/>
      <c r="F282" s="1923"/>
      <c r="I282" s="1773" t="s">
        <v>2433</v>
      </c>
    </row>
    <row r="283" spans="1:9">
      <c r="A283" s="796"/>
      <c r="B283" s="796"/>
      <c r="D283" s="1923"/>
      <c r="E283" s="1923"/>
      <c r="F283" s="1923"/>
    </row>
    <row r="284" spans="1:9">
      <c r="D284" s="799"/>
      <c r="E284" s="799"/>
      <c r="F284" s="799"/>
    </row>
    <row r="285" spans="1:9">
      <c r="A285" s="796"/>
      <c r="B285" s="797" t="s">
        <v>2659</v>
      </c>
      <c r="D285" s="1959" t="s">
        <v>1300</v>
      </c>
      <c r="E285" s="1959"/>
      <c r="F285" s="1959"/>
      <c r="I285" s="1773" t="s">
        <v>2433</v>
      </c>
    </row>
    <row r="286" spans="1:9">
      <c r="A286" s="796"/>
      <c r="B286" s="796"/>
      <c r="D286" s="1959"/>
      <c r="E286" s="1959"/>
      <c r="F286" s="1959"/>
    </row>
    <row r="287" spans="1:9">
      <c r="A287" s="796"/>
      <c r="B287" s="796"/>
      <c r="D287" s="1959"/>
      <c r="E287" s="1959"/>
      <c r="F287" s="1959"/>
    </row>
    <row r="288" spans="1:9">
      <c r="D288" s="799"/>
      <c r="E288" s="799"/>
      <c r="F288" s="799"/>
    </row>
    <row r="289" spans="1:9">
      <c r="A289" s="796"/>
      <c r="B289" s="797" t="s">
        <v>2659</v>
      </c>
      <c r="D289" s="1923" t="s">
        <v>1301</v>
      </c>
      <c r="E289" s="1923"/>
      <c r="F289" s="1923"/>
      <c r="I289" s="1773" t="s">
        <v>2433</v>
      </c>
    </row>
    <row r="290" spans="1:9">
      <c r="A290" s="796"/>
      <c r="B290" s="796"/>
      <c r="D290" s="1923"/>
      <c r="E290" s="1923"/>
      <c r="F290" s="1923"/>
    </row>
    <row r="291" spans="1:9">
      <c r="A291" s="815"/>
      <c r="B291" s="815"/>
      <c r="E291" s="799"/>
      <c r="F291" s="799"/>
    </row>
    <row r="292" spans="1:9">
      <c r="A292" s="1888" t="s">
        <v>1165</v>
      </c>
      <c r="B292" s="1888"/>
      <c r="C292" s="1888"/>
      <c r="D292" s="1888"/>
      <c r="E292" s="1888"/>
      <c r="F292" s="1888"/>
      <c r="G292" s="1888"/>
      <c r="H292" s="1852"/>
      <c r="I292" s="1853"/>
    </row>
    <row r="293" spans="1:9">
      <c r="A293" s="815"/>
      <c r="B293" s="815"/>
      <c r="D293" s="799"/>
      <c r="E293" s="799"/>
      <c r="F293" s="799"/>
    </row>
    <row r="294" spans="1:9">
      <c r="C294" s="815"/>
      <c r="D294" s="1878" t="s">
        <v>718</v>
      </c>
      <c r="E294" s="1878"/>
      <c r="F294" s="1878"/>
    </row>
    <row r="295" spans="1:9">
      <c r="C295" s="815"/>
      <c r="D295" s="1928" t="s">
        <v>1302</v>
      </c>
      <c r="E295" s="1928"/>
      <c r="F295" s="1928"/>
    </row>
    <row r="296" spans="1:9">
      <c r="C296" s="815"/>
      <c r="D296" s="822"/>
    </row>
    <row r="297" spans="1:9">
      <c r="A297" s="800"/>
      <c r="B297" s="797" t="s">
        <v>2659</v>
      </c>
      <c r="D297" s="1928" t="s">
        <v>1303</v>
      </c>
      <c r="E297" s="1928"/>
      <c r="F297" s="1928"/>
      <c r="I297" s="1773" t="s">
        <v>2434</v>
      </c>
    </row>
    <row r="298" spans="1:9" s="790" customFormat="1">
      <c r="A298" s="804"/>
      <c r="B298" s="804"/>
      <c r="C298" s="800"/>
      <c r="D298" s="823"/>
      <c r="E298" s="824"/>
      <c r="F298" s="824"/>
      <c r="G298" s="801"/>
      <c r="I298" s="1836"/>
    </row>
    <row r="299" spans="1:9" s="790" customFormat="1" ht="13.75" customHeight="1">
      <c r="A299" s="800"/>
      <c r="B299" s="1774" t="s">
        <v>2659</v>
      </c>
      <c r="C299" s="800"/>
      <c r="D299" s="1966" t="s">
        <v>1428</v>
      </c>
      <c r="E299" s="1966"/>
      <c r="F299" s="1966"/>
      <c r="G299" s="801"/>
      <c r="I299" s="1836" t="s">
        <v>2434</v>
      </c>
    </row>
    <row r="300" spans="1:9" s="790" customFormat="1">
      <c r="A300" s="804"/>
      <c r="B300" s="804"/>
      <c r="C300" s="800"/>
      <c r="D300" s="1966"/>
      <c r="E300" s="1966"/>
      <c r="F300" s="1966"/>
      <c r="G300" s="801"/>
      <c r="I300" s="1836"/>
    </row>
    <row r="301" spans="1:9" s="790" customFormat="1">
      <c r="A301" s="804"/>
      <c r="B301" s="804"/>
      <c r="C301" s="800"/>
      <c r="D301" s="1966"/>
      <c r="E301" s="1966"/>
      <c r="F301" s="1966"/>
      <c r="G301" s="801"/>
      <c r="I301" s="1836"/>
    </row>
    <row r="302" spans="1:9" s="790" customFormat="1">
      <c r="A302" s="804"/>
      <c r="B302" s="804"/>
      <c r="C302" s="800"/>
      <c r="D302" s="1966"/>
      <c r="E302" s="1966"/>
      <c r="F302" s="1966"/>
      <c r="G302" s="801"/>
      <c r="I302" s="1836"/>
    </row>
    <row r="303" spans="1:9" s="790" customFormat="1">
      <c r="A303" s="804"/>
      <c r="B303" s="804"/>
      <c r="C303" s="800"/>
      <c r="D303" s="1966"/>
      <c r="E303" s="1966"/>
      <c r="F303" s="1966"/>
      <c r="G303" s="801"/>
      <c r="I303" s="1836"/>
    </row>
    <row r="304" spans="1:9" s="790" customFormat="1">
      <c r="A304" s="804"/>
      <c r="B304" s="804"/>
      <c r="C304" s="800"/>
      <c r="D304" s="823"/>
      <c r="E304" s="824"/>
      <c r="F304" s="824"/>
      <c r="G304" s="801"/>
      <c r="I304" s="1836"/>
    </row>
    <row r="305" spans="1:9" s="790" customFormat="1" ht="13.75" customHeight="1">
      <c r="A305" s="800"/>
      <c r="B305" s="1774" t="s">
        <v>2659</v>
      </c>
      <c r="C305" s="800"/>
      <c r="D305" s="1966" t="s">
        <v>1305</v>
      </c>
      <c r="E305" s="1966"/>
      <c r="F305" s="1966"/>
      <c r="G305" s="801"/>
      <c r="I305" s="1836" t="s">
        <v>2434</v>
      </c>
    </row>
    <row r="306" spans="1:9" s="790" customFormat="1">
      <c r="A306" s="800"/>
      <c r="B306" s="800"/>
      <c r="C306" s="800"/>
      <c r="D306" s="1966"/>
      <c r="E306" s="1966"/>
      <c r="F306" s="1966"/>
      <c r="G306" s="801"/>
      <c r="I306" s="1836"/>
    </row>
    <row r="307" spans="1:9" s="790" customFormat="1">
      <c r="A307" s="804"/>
      <c r="B307" s="804"/>
      <c r="C307" s="800"/>
      <c r="D307" s="823"/>
      <c r="E307" s="824"/>
      <c r="F307" s="824"/>
      <c r="G307" s="801"/>
      <c r="I307" s="1836"/>
    </row>
    <row r="308" spans="1:9">
      <c r="A308" s="800"/>
      <c r="B308" s="1774" t="s">
        <v>2659</v>
      </c>
      <c r="D308" s="1928" t="s">
        <v>1306</v>
      </c>
      <c r="E308" s="1928"/>
      <c r="F308" s="1928"/>
      <c r="I308" s="1773" t="s">
        <v>2420</v>
      </c>
    </row>
    <row r="309" spans="1:9">
      <c r="E309" s="799"/>
      <c r="F309" s="799"/>
    </row>
    <row r="310" spans="1:9">
      <c r="A310" s="796"/>
      <c r="B310" s="1774" t="s">
        <v>2659</v>
      </c>
      <c r="D310" s="1959" t="s">
        <v>1455</v>
      </c>
      <c r="E310" s="1959"/>
      <c r="F310" s="1959"/>
      <c r="I310" s="1773" t="s">
        <v>2435</v>
      </c>
    </row>
    <row r="311" spans="1:9">
      <c r="A311" s="796"/>
      <c r="B311" s="796"/>
      <c r="D311" s="1959"/>
      <c r="E311" s="1959"/>
      <c r="F311" s="1959"/>
    </row>
    <row r="312" spans="1:9">
      <c r="A312" s="796"/>
      <c r="B312" s="796"/>
      <c r="D312" s="1959"/>
      <c r="E312" s="1959"/>
      <c r="F312" s="1959"/>
    </row>
    <row r="313" spans="1:9">
      <c r="A313" s="796"/>
      <c r="B313" s="796"/>
      <c r="D313" s="1959"/>
      <c r="E313" s="1959"/>
      <c r="F313" s="1959"/>
    </row>
    <row r="314" spans="1:9">
      <c r="A314" s="796"/>
      <c r="B314" s="796"/>
      <c r="D314" s="1959"/>
      <c r="E314" s="1959"/>
      <c r="F314" s="1959"/>
    </row>
    <row r="315" spans="1:9">
      <c r="A315" s="796"/>
      <c r="B315" s="796"/>
      <c r="D315" s="1959"/>
      <c r="E315" s="1959"/>
      <c r="F315" s="1959"/>
    </row>
    <row r="316" spans="1:9">
      <c r="A316" s="796"/>
      <c r="B316" s="796"/>
      <c r="D316" s="1959"/>
      <c r="E316" s="1959"/>
      <c r="F316" s="1959"/>
    </row>
    <row r="317" spans="1:9">
      <c r="A317" s="796"/>
      <c r="B317" s="796"/>
      <c r="D317" s="1959"/>
      <c r="E317" s="1959"/>
      <c r="F317" s="1959"/>
    </row>
    <row r="318" spans="1:9">
      <c r="A318" s="796"/>
      <c r="B318" s="796"/>
      <c r="D318" s="1959"/>
      <c r="E318" s="1959"/>
      <c r="F318" s="1959"/>
    </row>
    <row r="319" spans="1:9">
      <c r="A319" s="796"/>
      <c r="B319" s="796"/>
      <c r="D319" s="1959"/>
      <c r="E319" s="1959"/>
      <c r="F319" s="1959"/>
    </row>
    <row r="320" spans="1:9">
      <c r="A320" s="796"/>
      <c r="B320" s="796"/>
      <c r="D320" s="1959"/>
      <c r="E320" s="1959"/>
      <c r="F320" s="1959"/>
    </row>
    <row r="321" spans="1:9">
      <c r="A321" s="796"/>
      <c r="B321" s="796"/>
      <c r="D321" s="1959"/>
      <c r="E321" s="1959"/>
      <c r="F321" s="1959"/>
    </row>
    <row r="322" spans="1:9">
      <c r="A322" s="796"/>
      <c r="B322" s="796"/>
      <c r="D322" s="1959"/>
      <c r="E322" s="1959"/>
      <c r="F322" s="1959"/>
    </row>
    <row r="323" spans="1:9">
      <c r="A323" s="796"/>
      <c r="B323" s="796"/>
      <c r="D323" s="1959"/>
      <c r="E323" s="1959"/>
      <c r="F323" s="1959"/>
    </row>
    <row r="324" spans="1:9">
      <c r="A324" s="796"/>
      <c r="B324" s="796"/>
      <c r="D324" s="1959"/>
      <c r="E324" s="1959"/>
      <c r="F324" s="1959"/>
    </row>
    <row r="325" spans="1:9">
      <c r="D325" s="799"/>
      <c r="E325" s="799"/>
      <c r="F325" s="799"/>
    </row>
    <row r="326" spans="1:9">
      <c r="A326" s="796"/>
      <c r="B326" s="1774" t="s">
        <v>2659</v>
      </c>
      <c r="D326" s="1959" t="s">
        <v>1308</v>
      </c>
      <c r="E326" s="1959"/>
      <c r="F326" s="1959"/>
      <c r="I326" s="1773" t="s">
        <v>2435</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799"/>
      <c r="E335" s="799"/>
      <c r="F335" s="799"/>
    </row>
    <row r="336" spans="1:9">
      <c r="A336" s="796"/>
      <c r="B336" s="1774" t="s">
        <v>2659</v>
      </c>
      <c r="D336" s="1923" t="s">
        <v>1504</v>
      </c>
      <c r="E336" s="1923"/>
      <c r="F336" s="1923"/>
      <c r="I336" s="1773" t="s">
        <v>2472</v>
      </c>
    </row>
    <row r="337" spans="1:9">
      <c r="D337" s="1923"/>
      <c r="E337" s="1923"/>
      <c r="F337" s="1923"/>
      <c r="G337" s="789"/>
    </row>
    <row r="338" spans="1:9">
      <c r="D338" s="1923"/>
      <c r="E338" s="1923"/>
      <c r="F338" s="1923"/>
      <c r="G338" s="789"/>
    </row>
    <row r="339" spans="1:9">
      <c r="D339" s="1923"/>
      <c r="E339" s="1923"/>
      <c r="F339" s="1923"/>
      <c r="G339" s="789"/>
    </row>
    <row r="340" spans="1:9">
      <c r="D340" s="1923"/>
      <c r="E340" s="1923"/>
      <c r="F340" s="1923"/>
      <c r="G340" s="789"/>
    </row>
    <row r="341" spans="1:9">
      <c r="D341" s="1923"/>
      <c r="E341" s="1923"/>
      <c r="F341" s="1923"/>
      <c r="G341" s="789"/>
    </row>
    <row r="342" spans="1:9" s="1771" customFormat="1">
      <c r="A342" s="787"/>
      <c r="B342" s="787"/>
      <c r="C342" s="787"/>
      <c r="D342" s="1826"/>
      <c r="E342" s="1826"/>
      <c r="F342" s="1826"/>
      <c r="I342" s="1773"/>
    </row>
    <row r="343" spans="1:9" ht="13.5" thickBot="1">
      <c r="A343" s="1827"/>
      <c r="B343" s="1827"/>
      <c r="C343" s="1827"/>
      <c r="D343" s="1990" t="s">
        <v>1058</v>
      </c>
      <c r="E343" s="1990"/>
      <c r="F343" s="1990"/>
      <c r="G343" s="1850"/>
      <c r="H343" s="1850"/>
      <c r="I343" s="1851"/>
    </row>
    <row r="344" spans="1:9" ht="13.5" thickTop="1">
      <c r="D344" s="1967" t="s">
        <v>1310</v>
      </c>
      <c r="E344" s="1967"/>
      <c r="F344" s="1967"/>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2436</v>
      </c>
    </row>
    <row r="347" spans="1:9">
      <c r="A347" s="796"/>
      <c r="B347" s="1774" t="s">
        <v>2659</v>
      </c>
      <c r="C347" s="828"/>
      <c r="D347" s="1928" t="s">
        <v>1319</v>
      </c>
      <c r="E347" s="1928"/>
      <c r="F347" s="1928"/>
      <c r="I347" s="1956" t="s">
        <v>2487</v>
      </c>
    </row>
    <row r="348" spans="1:9" ht="12.75" customHeight="1">
      <c r="D348" s="1932" t="s">
        <v>1453</v>
      </c>
      <c r="E348" s="1932"/>
      <c r="F348" s="1932"/>
      <c r="I348" s="1957"/>
    </row>
    <row r="349" spans="1:9" ht="12.5">
      <c r="D349" s="1959" t="s">
        <v>1452</v>
      </c>
      <c r="E349" s="1959"/>
      <c r="F349" s="1959"/>
      <c r="I349" s="1957"/>
    </row>
    <row r="350" spans="1:9" ht="12.5">
      <c r="D350" s="1959"/>
      <c r="E350" s="1959"/>
      <c r="F350" s="1959"/>
      <c r="I350" s="1957"/>
    </row>
    <row r="351" spans="1:9" ht="12.5">
      <c r="D351" s="1959"/>
      <c r="E351" s="1959"/>
      <c r="F351" s="1959"/>
      <c r="I351" s="1958"/>
    </row>
    <row r="352" spans="1:9">
      <c r="A352" s="796"/>
      <c r="B352" s="1774" t="s">
        <v>2659</v>
      </c>
      <c r="C352" s="813"/>
      <c r="D352" s="1935" t="s">
        <v>1311</v>
      </c>
      <c r="E352" s="1935"/>
      <c r="F352" s="1935"/>
      <c r="G352" s="789"/>
      <c r="I352" s="618"/>
    </row>
    <row r="353" spans="1:9">
      <c r="A353" s="813"/>
      <c r="B353" s="813"/>
      <c r="C353" s="813"/>
      <c r="D353" s="785"/>
      <c r="E353" s="785"/>
      <c r="F353" s="799"/>
      <c r="G353" s="789"/>
    </row>
    <row r="354" spans="1:9">
      <c r="A354" s="813"/>
      <c r="B354" s="1774" t="s">
        <v>2659</v>
      </c>
      <c r="C354" s="813"/>
      <c r="D354" s="1919" t="s">
        <v>1431</v>
      </c>
      <c r="E354" s="1919"/>
      <c r="F354" s="1919"/>
      <c r="G354" s="789"/>
    </row>
    <row r="355" spans="1:9">
      <c r="A355" s="813"/>
      <c r="B355" s="813"/>
      <c r="C355" s="813"/>
      <c r="D355" s="1919"/>
      <c r="E355" s="1919"/>
      <c r="F355" s="1919"/>
      <c r="G355" s="789"/>
    </row>
    <row r="356" spans="1:9">
      <c r="A356" s="813"/>
      <c r="B356" s="813"/>
      <c r="C356" s="813"/>
      <c r="D356" s="1919"/>
      <c r="E356" s="1919"/>
      <c r="F356" s="1919"/>
      <c r="G356" s="789"/>
    </row>
    <row r="357" spans="1:9">
      <c r="A357" s="813"/>
      <c r="B357" s="813"/>
      <c r="C357" s="813"/>
      <c r="D357" s="1919"/>
      <c r="E357" s="1919"/>
      <c r="F357" s="1919"/>
      <c r="G357" s="789"/>
    </row>
    <row r="358" spans="1:9">
      <c r="A358" s="813"/>
      <c r="B358" s="813"/>
      <c r="C358" s="813"/>
      <c r="D358" s="1919"/>
      <c r="E358" s="1919"/>
      <c r="F358" s="1919"/>
      <c r="G358" s="789"/>
    </row>
    <row r="359" spans="1:9">
      <c r="A359" s="813"/>
      <c r="B359" s="813"/>
      <c r="C359" s="813"/>
      <c r="D359" s="1919"/>
      <c r="E359" s="1919"/>
      <c r="F359" s="1919"/>
      <c r="G359" s="789"/>
    </row>
    <row r="360" spans="1:9">
      <c r="A360" s="813"/>
      <c r="B360" s="813"/>
      <c r="C360" s="813"/>
      <c r="D360" s="1919"/>
      <c r="E360" s="1919"/>
      <c r="F360" s="1919"/>
      <c r="G360" s="789"/>
    </row>
    <row r="361" spans="1:9">
      <c r="A361" s="813"/>
      <c r="B361" s="813"/>
      <c r="C361" s="813"/>
      <c r="D361" s="1919"/>
      <c r="E361" s="1919"/>
      <c r="F361" s="1919"/>
      <c r="G361" s="789"/>
    </row>
    <row r="362" spans="1:9">
      <c r="A362" s="813"/>
      <c r="B362" s="813"/>
      <c r="C362" s="813"/>
      <c r="D362" s="1919"/>
      <c r="E362" s="1919"/>
      <c r="F362" s="1919"/>
      <c r="G362" s="789"/>
    </row>
    <row r="363" spans="1:9">
      <c r="A363" s="813"/>
      <c r="B363" s="813"/>
      <c r="C363" s="813"/>
      <c r="D363" s="1919"/>
      <c r="E363" s="1919"/>
      <c r="F363" s="1919"/>
      <c r="G363" s="789"/>
    </row>
    <row r="364" spans="1:9">
      <c r="A364" s="813"/>
      <c r="B364" s="813"/>
      <c r="C364" s="813"/>
      <c r="D364" s="1919"/>
      <c r="E364" s="1919"/>
      <c r="F364" s="1919"/>
      <c r="G364" s="789"/>
    </row>
    <row r="365" spans="1:9">
      <c r="A365" s="813"/>
      <c r="B365" s="813"/>
      <c r="C365" s="813"/>
      <c r="D365" s="1919"/>
      <c r="E365" s="1919"/>
      <c r="F365" s="1919"/>
      <c r="G365" s="789"/>
    </row>
    <row r="366" spans="1:9" s="1771" customFormat="1">
      <c r="A366" s="1776"/>
      <c r="B366" s="1776"/>
      <c r="C366" s="1776"/>
      <c r="D366" s="1778"/>
      <c r="E366" s="1778"/>
      <c r="F366" s="1778"/>
      <c r="I366" s="1773"/>
    </row>
    <row r="367" spans="1:9" ht="12.5" customHeight="1">
      <c r="A367" s="813"/>
      <c r="B367" s="1774" t="s">
        <v>2659</v>
      </c>
      <c r="C367" s="813"/>
      <c r="D367" s="1963" t="s">
        <v>1432</v>
      </c>
      <c r="E367" s="1963"/>
      <c r="F367" s="1963"/>
      <c r="G367" s="789"/>
    </row>
    <row r="368" spans="1:9">
      <c r="A368" s="813"/>
      <c r="B368" s="813"/>
      <c r="C368" s="813"/>
      <c r="D368" s="1963"/>
      <c r="E368" s="1963"/>
      <c r="F368" s="1963"/>
      <c r="G368" s="789"/>
    </row>
    <row r="369" spans="1:9">
      <c r="A369" s="813"/>
      <c r="B369" s="813"/>
      <c r="C369" s="813"/>
      <c r="D369" s="1963"/>
      <c r="E369" s="1963"/>
      <c r="F369" s="1963"/>
      <c r="G369" s="789"/>
    </row>
    <row r="370" spans="1:9">
      <c r="A370" s="813"/>
      <c r="B370" s="813"/>
      <c r="C370" s="813"/>
      <c r="D370" s="1963"/>
      <c r="E370" s="1963"/>
      <c r="F370" s="1963"/>
      <c r="G370" s="789"/>
    </row>
    <row r="371" spans="1:9" s="1771" customFormat="1">
      <c r="A371" s="1776"/>
      <c r="B371" s="1776"/>
      <c r="C371" s="1776"/>
      <c r="D371" s="1777"/>
      <c r="E371" s="1777"/>
      <c r="F371" s="1777"/>
      <c r="I371" s="1773"/>
    </row>
    <row r="372" spans="1:9" s="1771" customFormat="1">
      <c r="A372" s="1776"/>
      <c r="B372" s="1774" t="s">
        <v>2659</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3"/>
      <c r="B378" s="813"/>
      <c r="C378" s="813"/>
      <c r="D378" s="789"/>
      <c r="E378" s="785"/>
      <c r="F378" s="799"/>
      <c r="G378" s="789"/>
    </row>
    <row r="379" spans="1:9">
      <c r="A379" s="796"/>
      <c r="B379" s="1774" t="s">
        <v>2659</v>
      </c>
      <c r="C379" s="813"/>
      <c r="D379" s="1938" t="s">
        <v>1313</v>
      </c>
      <c r="E379" s="1938"/>
      <c r="F379" s="1938"/>
      <c r="G379" s="789"/>
    </row>
    <row r="380" spans="1:9">
      <c r="A380" s="813"/>
      <c r="B380" s="813"/>
      <c r="C380" s="813"/>
      <c r="D380" s="1938"/>
      <c r="E380" s="1938"/>
      <c r="F380" s="1938"/>
      <c r="G380" s="789"/>
    </row>
    <row r="381" spans="1:9">
      <c r="A381" s="813"/>
      <c r="B381" s="813"/>
      <c r="C381" s="813"/>
      <c r="D381" s="1938"/>
      <c r="E381" s="1938"/>
      <c r="F381" s="1938"/>
      <c r="G381" s="789"/>
    </row>
    <row r="382" spans="1:9">
      <c r="A382" s="813"/>
      <c r="B382" s="813"/>
      <c r="C382" s="813"/>
      <c r="D382" s="1938"/>
      <c r="E382" s="1938"/>
      <c r="F382" s="1938"/>
      <c r="G382" s="789"/>
    </row>
    <row r="383" spans="1:9">
      <c r="A383" s="813"/>
      <c r="B383" s="813"/>
      <c r="C383" s="813"/>
      <c r="D383" s="825"/>
      <c r="E383" s="785"/>
      <c r="F383" s="799"/>
      <c r="G383" s="789"/>
    </row>
    <row r="384" spans="1:9">
      <c r="A384" s="813"/>
      <c r="B384" s="813"/>
      <c r="C384" s="813"/>
      <c r="D384" s="1938" t="s">
        <v>1314</v>
      </c>
      <c r="E384" s="1938"/>
      <c r="F384" s="1938"/>
      <c r="G384" s="789"/>
    </row>
    <row r="385" spans="1:7">
      <c r="A385" s="813"/>
      <c r="B385" s="813"/>
      <c r="C385" s="813"/>
      <c r="D385" s="1938"/>
      <c r="E385" s="1938"/>
      <c r="F385" s="1938"/>
      <c r="G385" s="789"/>
    </row>
    <row r="386" spans="1:7">
      <c r="A386" s="813"/>
      <c r="B386" s="813"/>
      <c r="C386" s="813"/>
      <c r="D386" s="1938"/>
      <c r="E386" s="1938"/>
      <c r="F386" s="1938"/>
      <c r="G386" s="789"/>
    </row>
    <row r="387" spans="1:7">
      <c r="A387" s="813"/>
      <c r="B387" s="813"/>
      <c r="C387" s="813"/>
      <c r="D387" s="1938"/>
      <c r="E387" s="1938"/>
      <c r="F387" s="1938"/>
      <c r="G387" s="789"/>
    </row>
    <row r="388" spans="1:7" ht="18" customHeight="1">
      <c r="A388" s="813"/>
      <c r="B388" s="813"/>
      <c r="C388" s="813"/>
      <c r="D388" s="1938"/>
      <c r="E388" s="1938"/>
      <c r="F388" s="1938"/>
      <c r="G388" s="789"/>
    </row>
    <row r="389" spans="1:7">
      <c r="A389" s="813"/>
      <c r="B389" s="813"/>
      <c r="C389" s="813"/>
      <c r="D389" s="1938"/>
      <c r="E389" s="1938"/>
      <c r="F389" s="1938"/>
      <c r="G389" s="789"/>
    </row>
    <row r="390" spans="1:7">
      <c r="A390" s="813"/>
      <c r="B390" s="813"/>
      <c r="C390" s="813"/>
      <c r="D390" s="1938"/>
      <c r="E390" s="1938"/>
      <c r="F390" s="1938"/>
      <c r="G390" s="789"/>
    </row>
    <row r="391" spans="1:7">
      <c r="A391" s="813"/>
      <c r="B391" s="813"/>
      <c r="C391" s="813"/>
      <c r="D391" s="1938"/>
      <c r="E391" s="1938"/>
      <c r="F391" s="1938"/>
      <c r="G391" s="789"/>
    </row>
    <row r="392" spans="1:7" ht="8.25" customHeight="1">
      <c r="A392" s="813"/>
      <c r="B392" s="813"/>
      <c r="C392" s="813"/>
      <c r="D392" s="1938"/>
      <c r="E392" s="1938"/>
      <c r="F392" s="1938"/>
      <c r="G392" s="789"/>
    </row>
    <row r="393" spans="1:7" ht="13.75" customHeight="1">
      <c r="A393" s="813"/>
      <c r="B393" s="813"/>
      <c r="C393" s="813"/>
      <c r="D393" s="1931" t="s">
        <v>1315</v>
      </c>
      <c r="E393" s="1931"/>
      <c r="F393" s="1931"/>
      <c r="G393" s="789"/>
    </row>
    <row r="394" spans="1:7">
      <c r="A394" s="813"/>
      <c r="B394" s="813"/>
      <c r="C394" s="813"/>
      <c r="D394" s="1931"/>
      <c r="E394" s="1931"/>
      <c r="F394" s="1931"/>
      <c r="G394" s="789"/>
    </row>
    <row r="395" spans="1:7">
      <c r="A395" s="813"/>
      <c r="B395" s="813"/>
      <c r="C395" s="813"/>
      <c r="D395" s="1931"/>
      <c r="E395" s="1931"/>
      <c r="F395" s="1931"/>
      <c r="G395" s="789"/>
    </row>
    <row r="396" spans="1:7">
      <c r="A396" s="813"/>
      <c r="B396" s="813"/>
      <c r="C396" s="813"/>
      <c r="D396" s="1931"/>
      <c r="E396" s="1931"/>
      <c r="F396" s="1931"/>
      <c r="G396" s="789"/>
    </row>
    <row r="397" spans="1:7">
      <c r="A397" s="813"/>
      <c r="B397" s="813"/>
      <c r="C397" s="813"/>
      <c r="D397" s="1931"/>
      <c r="E397" s="1931"/>
      <c r="F397" s="1931"/>
      <c r="G397" s="789"/>
    </row>
    <row r="398" spans="1:7">
      <c r="A398" s="813"/>
      <c r="B398" s="813"/>
      <c r="C398" s="813"/>
      <c r="D398" s="1931"/>
      <c r="E398" s="1931"/>
      <c r="F398" s="1931"/>
      <c r="G398" s="789"/>
    </row>
    <row r="399" spans="1:7">
      <c r="A399" s="813"/>
      <c r="B399" s="813"/>
      <c r="C399" s="813"/>
      <c r="D399" s="1931"/>
      <c r="E399" s="1931"/>
      <c r="F399" s="1931"/>
      <c r="G399" s="789"/>
    </row>
    <row r="400" spans="1:7">
      <c r="A400" s="813"/>
      <c r="B400" s="813"/>
      <c r="C400" s="813"/>
      <c r="D400" s="1931"/>
      <c r="E400" s="1931"/>
      <c r="F400" s="1931"/>
      <c r="G400" s="789"/>
    </row>
    <row r="401" spans="1:7">
      <c r="A401" s="813"/>
      <c r="B401" s="813"/>
      <c r="C401" s="813"/>
      <c r="D401" s="1931"/>
      <c r="E401" s="1931"/>
      <c r="F401" s="1931"/>
      <c r="G401" s="789"/>
    </row>
    <row r="402" spans="1:7">
      <c r="A402" s="813"/>
      <c r="B402" s="813"/>
      <c r="C402" s="813"/>
      <c r="D402" s="1931"/>
      <c r="E402" s="1931"/>
      <c r="F402" s="1931"/>
      <c r="G402" s="789"/>
    </row>
    <row r="403" spans="1:7">
      <c r="A403" s="813"/>
      <c r="B403" s="813"/>
      <c r="C403" s="813"/>
      <c r="D403" s="1931"/>
      <c r="E403" s="1931"/>
      <c r="F403" s="1931"/>
      <c r="G403" s="789"/>
    </row>
    <row r="404" spans="1:7">
      <c r="A404" s="813"/>
      <c r="B404" s="813"/>
      <c r="C404" s="813"/>
      <c r="D404" s="1931"/>
      <c r="E404" s="1931"/>
      <c r="F404" s="1931"/>
      <c r="G404" s="789"/>
    </row>
    <row r="405" spans="1:7">
      <c r="A405" s="813"/>
      <c r="B405" s="813"/>
      <c r="C405" s="826"/>
      <c r="D405" s="1931"/>
      <c r="E405" s="1931"/>
      <c r="F405" s="1931"/>
      <c r="G405" s="789"/>
    </row>
    <row r="406" spans="1:7">
      <c r="A406" s="813"/>
      <c r="B406" s="813"/>
      <c r="C406" s="826"/>
      <c r="D406" s="1931"/>
      <c r="E406" s="1931"/>
      <c r="F406" s="1931"/>
      <c r="G406" s="789"/>
    </row>
    <row r="407" spans="1:7">
      <c r="A407" s="813"/>
      <c r="B407" s="813"/>
      <c r="C407" s="813"/>
      <c r="D407" s="1931"/>
      <c r="E407" s="1931"/>
      <c r="F407" s="1931"/>
      <c r="G407" s="789"/>
    </row>
    <row r="408" spans="1:7">
      <c r="A408" s="813"/>
      <c r="B408" s="813"/>
      <c r="C408" s="826"/>
      <c r="D408" s="1931"/>
      <c r="E408" s="1931"/>
      <c r="F408" s="1931"/>
      <c r="G408" s="789"/>
    </row>
    <row r="409" spans="1:7">
      <c r="A409" s="813"/>
      <c r="B409" s="813"/>
      <c r="C409" s="826"/>
      <c r="D409" s="1931"/>
      <c r="E409" s="1931"/>
      <c r="F409" s="1931"/>
      <c r="G409" s="789"/>
    </row>
    <row r="410" spans="1:7">
      <c r="A410" s="813"/>
      <c r="B410" s="813"/>
      <c r="C410" s="826"/>
      <c r="D410" s="1931"/>
      <c r="E410" s="1931"/>
      <c r="F410" s="1931"/>
      <c r="G410" s="789"/>
    </row>
    <row r="411" spans="1:7">
      <c r="A411" s="813"/>
      <c r="B411" s="813"/>
      <c r="C411" s="813"/>
      <c r="D411" s="825"/>
      <c r="E411" s="785"/>
      <c r="F411" s="799"/>
      <c r="G411" s="789"/>
    </row>
    <row r="412" spans="1:7">
      <c r="A412" s="813"/>
      <c r="B412" s="1774" t="s">
        <v>2659</v>
      </c>
      <c r="C412" s="813"/>
      <c r="D412" s="1931" t="s">
        <v>1316</v>
      </c>
      <c r="E412" s="1931"/>
      <c r="F412" s="1931"/>
      <c r="G412" s="789"/>
    </row>
    <row r="413" spans="1:7">
      <c r="A413" s="813"/>
      <c r="B413" s="813"/>
      <c r="C413" s="813"/>
      <c r="D413" s="1931"/>
      <c r="E413" s="1931"/>
      <c r="F413" s="1931"/>
      <c r="G413" s="789"/>
    </row>
    <row r="414" spans="1:7">
      <c r="A414" s="813"/>
      <c r="B414" s="813"/>
      <c r="C414" s="813"/>
      <c r="D414" s="902"/>
      <c r="E414" s="902"/>
      <c r="F414" s="902"/>
      <c r="G414" s="789"/>
    </row>
    <row r="415" spans="1:7" ht="14.5" customHeight="1">
      <c r="A415" s="796"/>
      <c r="B415" s="1774" t="s">
        <v>2659</v>
      </c>
      <c r="D415" s="1931" t="s">
        <v>2473</v>
      </c>
      <c r="E415" s="1931"/>
      <c r="F415" s="1931"/>
    </row>
    <row r="416" spans="1:7" ht="14.5" customHeight="1">
      <c r="A416" s="796"/>
      <c r="D416" s="1931"/>
      <c r="E416" s="1931"/>
      <c r="F416" s="1931"/>
    </row>
    <row r="417" spans="1:7" ht="14.5" customHeight="1">
      <c r="A417" s="796"/>
      <c r="D417" s="1931"/>
      <c r="E417" s="1931"/>
      <c r="F417" s="1931"/>
    </row>
    <row r="418" spans="1:7" ht="14.5" customHeight="1">
      <c r="A418" s="796"/>
      <c r="D418" s="1931"/>
      <c r="E418" s="1931"/>
      <c r="F418" s="1931"/>
    </row>
    <row r="419" spans="1:7" ht="14.5" customHeight="1">
      <c r="A419" s="796"/>
      <c r="D419" s="1931"/>
      <c r="E419" s="1931"/>
      <c r="F419" s="1931"/>
    </row>
    <row r="420" spans="1:7" ht="14.5" customHeight="1">
      <c r="A420" s="796"/>
      <c r="D420" s="877"/>
      <c r="E420" s="877"/>
      <c r="F420" s="877"/>
    </row>
    <row r="421" spans="1:7" ht="13.75" customHeight="1">
      <c r="A421" s="796"/>
      <c r="B421" s="1774" t="s">
        <v>2659</v>
      </c>
      <c r="C421" s="813"/>
      <c r="D421" s="1919" t="s">
        <v>1456</v>
      </c>
      <c r="E421" s="1919"/>
      <c r="F421" s="1919"/>
      <c r="G421" s="789"/>
    </row>
    <row r="422" spans="1:7">
      <c r="A422" s="827"/>
      <c r="B422" s="827"/>
      <c r="C422" s="813"/>
      <c r="D422" s="1919"/>
      <c r="E422" s="1919"/>
      <c r="F422" s="1919"/>
      <c r="G422" s="789"/>
    </row>
    <row r="423" spans="1:7">
      <c r="A423" s="827"/>
      <c r="B423" s="827"/>
      <c r="C423" s="813"/>
      <c r="D423" s="1919"/>
      <c r="E423" s="1919"/>
      <c r="F423" s="1919"/>
      <c r="G423" s="789"/>
    </row>
    <row r="424" spans="1:7">
      <c r="A424" s="827"/>
      <c r="B424" s="827"/>
      <c r="C424" s="813"/>
      <c r="D424" s="1919"/>
      <c r="E424" s="1919"/>
      <c r="F424" s="1919"/>
      <c r="G424" s="789"/>
    </row>
    <row r="425" spans="1:7" ht="15.75" customHeight="1">
      <c r="A425" s="827"/>
      <c r="B425" s="827"/>
      <c r="C425" s="813"/>
      <c r="D425" s="1969" t="s">
        <v>1505</v>
      </c>
      <c r="E425" s="1919"/>
      <c r="F425" s="1919"/>
      <c r="G425" s="789"/>
    </row>
    <row r="426" spans="1:7">
      <c r="D426" s="799"/>
      <c r="E426" s="799"/>
      <c r="F426" s="799"/>
      <c r="G426" s="789"/>
    </row>
    <row r="427" spans="1:7">
      <c r="A427" s="796"/>
      <c r="B427" s="1774" t="s">
        <v>2659</v>
      </c>
      <c r="C427" s="828"/>
      <c r="D427" s="1923" t="s">
        <v>1318</v>
      </c>
      <c r="E427" s="1923"/>
      <c r="F427" s="1923"/>
      <c r="G427" s="789"/>
    </row>
    <row r="428" spans="1:7">
      <c r="A428" s="796"/>
      <c r="B428" s="796"/>
      <c r="D428" s="1923"/>
      <c r="E428" s="1923"/>
      <c r="F428" s="1923"/>
      <c r="G428" s="789"/>
    </row>
    <row r="429" spans="1:7">
      <c r="D429" s="1923"/>
      <c r="E429" s="1923"/>
      <c r="F429" s="1923"/>
      <c r="G429" s="789"/>
    </row>
    <row r="430" spans="1:7">
      <c r="D430" s="1923"/>
      <c r="E430" s="1923"/>
      <c r="F430" s="1923"/>
      <c r="G430" s="789"/>
    </row>
    <row r="431" spans="1:7">
      <c r="D431" s="1923"/>
      <c r="E431" s="1923"/>
      <c r="F431" s="1923"/>
      <c r="G431" s="789"/>
    </row>
    <row r="432" spans="1:7">
      <c r="D432" s="1923"/>
      <c r="E432" s="1923"/>
      <c r="F432" s="1923"/>
      <c r="G432" s="789"/>
    </row>
    <row r="433" spans="1:7">
      <c r="D433" s="1923"/>
      <c r="E433" s="1923"/>
      <c r="F433" s="1923"/>
      <c r="G433" s="789"/>
    </row>
    <row r="434" spans="1:7">
      <c r="D434" s="1923"/>
      <c r="E434" s="1923"/>
      <c r="F434" s="1923"/>
      <c r="G434" s="789"/>
    </row>
    <row r="435" spans="1:7">
      <c r="D435" s="1923"/>
      <c r="E435" s="1923"/>
      <c r="F435" s="1923"/>
      <c r="G435" s="789"/>
    </row>
    <row r="436" spans="1:7">
      <c r="D436" s="1923"/>
      <c r="E436" s="1923"/>
      <c r="F436" s="1923"/>
      <c r="G436" s="789"/>
    </row>
    <row r="437" spans="1:7">
      <c r="D437" s="1923"/>
      <c r="E437" s="1923"/>
      <c r="F437" s="1923"/>
      <c r="G437" s="789"/>
    </row>
    <row r="438" spans="1:7">
      <c r="D438" s="1923"/>
      <c r="E438" s="1923"/>
      <c r="F438" s="1923"/>
      <c r="G438" s="789"/>
    </row>
    <row r="439" spans="1:7">
      <c r="D439" s="1923"/>
      <c r="E439" s="1923"/>
      <c r="F439" s="1923"/>
      <c r="G439" s="789"/>
    </row>
    <row r="440" spans="1:7">
      <c r="A440" s="789"/>
      <c r="B440" s="789"/>
      <c r="C440" s="789"/>
      <c r="D440" s="1923"/>
      <c r="E440" s="1923"/>
      <c r="F440" s="1923"/>
      <c r="G440" s="789"/>
    </row>
    <row r="441" spans="1:7">
      <c r="A441" s="789"/>
      <c r="B441" s="789"/>
      <c r="C441" s="789"/>
      <c r="D441" s="1923"/>
      <c r="E441" s="1923"/>
      <c r="F441" s="1923"/>
      <c r="G441" s="789"/>
    </row>
    <row r="442" spans="1:7">
      <c r="A442" s="789"/>
      <c r="B442" s="789"/>
      <c r="C442" s="789"/>
      <c r="D442" s="1923"/>
      <c r="E442" s="1923"/>
      <c r="F442" s="1923"/>
      <c r="G442" s="789"/>
    </row>
    <row r="443" spans="1:7">
      <c r="A443" s="789"/>
      <c r="B443" s="789"/>
      <c r="C443" s="789"/>
      <c r="D443" s="1923"/>
      <c r="E443" s="1923"/>
      <c r="F443" s="1923"/>
      <c r="G443" s="789"/>
    </row>
    <row r="444" spans="1:7">
      <c r="A444" s="789"/>
      <c r="B444" s="789"/>
      <c r="C444" s="789"/>
      <c r="D444" s="1923"/>
      <c r="E444" s="1923"/>
      <c r="F444" s="1923"/>
      <c r="G444" s="789"/>
    </row>
    <row r="445" spans="1:7">
      <c r="A445" s="789"/>
      <c r="B445" s="789"/>
      <c r="C445" s="789"/>
      <c r="D445" s="1923"/>
      <c r="E445" s="1923"/>
      <c r="F445" s="1923"/>
      <c r="G445" s="789"/>
    </row>
    <row r="446" spans="1:7">
      <c r="A446" s="789"/>
      <c r="B446" s="789"/>
      <c r="C446" s="789"/>
      <c r="D446" s="1923"/>
      <c r="E446" s="1923"/>
      <c r="F446" s="1923"/>
      <c r="G446" s="789"/>
    </row>
    <row r="447" spans="1:7">
      <c r="A447" s="789"/>
      <c r="B447" s="789"/>
      <c r="C447" s="789"/>
      <c r="D447" s="1923"/>
      <c r="E447" s="1923"/>
      <c r="F447" s="1923"/>
      <c r="G447" s="789"/>
    </row>
    <row r="448" spans="1:7">
      <c r="A448" s="789"/>
      <c r="B448" s="789"/>
      <c r="C448" s="789"/>
      <c r="D448" s="1923"/>
      <c r="E448" s="1923"/>
      <c r="F448" s="1923"/>
      <c r="G448" s="789"/>
    </row>
    <row r="449" spans="1:9">
      <c r="A449" s="789"/>
      <c r="B449" s="789"/>
      <c r="C449" s="789"/>
      <c r="D449" s="1923"/>
      <c r="E449" s="1923"/>
      <c r="F449" s="1923"/>
      <c r="G449" s="789"/>
    </row>
    <row r="450" spans="1:9">
      <c r="A450" s="789"/>
      <c r="B450" s="789"/>
      <c r="C450" s="789"/>
      <c r="D450" s="1923"/>
      <c r="E450" s="1923"/>
      <c r="F450" s="1923"/>
      <c r="G450" s="789"/>
    </row>
    <row r="451" spans="1:9">
      <c r="A451" s="789"/>
      <c r="B451" s="789"/>
      <c r="C451" s="789"/>
      <c r="D451" s="1923"/>
      <c r="E451" s="1923"/>
      <c r="F451" s="1923"/>
      <c r="G451" s="789"/>
    </row>
    <row r="452" spans="1:9">
      <c r="A452" s="789"/>
      <c r="B452" s="789"/>
      <c r="C452" s="789"/>
      <c r="D452" s="1923"/>
      <c r="E452" s="1923"/>
      <c r="F452" s="1923"/>
      <c r="G452" s="789"/>
    </row>
    <row r="453" spans="1:9">
      <c r="A453" s="789"/>
      <c r="B453" s="789"/>
      <c r="C453" s="789"/>
      <c r="D453" s="1923"/>
      <c r="E453" s="1923"/>
      <c r="F453" s="1923"/>
      <c r="G453" s="789"/>
    </row>
    <row r="454" spans="1:9">
      <c r="A454" s="789"/>
      <c r="B454" s="789"/>
      <c r="C454" s="789"/>
      <c r="D454" s="1923"/>
      <c r="E454" s="1923"/>
      <c r="F454" s="1923"/>
      <c r="G454" s="789"/>
    </row>
    <row r="455" spans="1:9">
      <c r="A455" s="789"/>
      <c r="B455" s="789"/>
      <c r="C455" s="789"/>
      <c r="D455" s="1923"/>
      <c r="E455" s="1923"/>
      <c r="F455" s="1923"/>
      <c r="G455" s="789"/>
    </row>
    <row r="456" spans="1:9" s="830" customFormat="1">
      <c r="A456" s="787"/>
      <c r="B456" s="787"/>
      <c r="C456" s="787"/>
      <c r="D456" s="1923"/>
      <c r="E456" s="1923"/>
      <c r="F456" s="1923"/>
      <c r="G456" s="829"/>
      <c r="I456" s="1839"/>
    </row>
    <row r="457" spans="1:9" s="830" customFormat="1" ht="40.75" customHeight="1">
      <c r="A457" s="787"/>
      <c r="B457" s="787"/>
      <c r="C457" s="787"/>
      <c r="D457" s="1923"/>
      <c r="E457" s="1923"/>
      <c r="F457" s="1923"/>
      <c r="G457" s="829"/>
      <c r="I457" s="1839"/>
    </row>
    <row r="458" spans="1:9">
      <c r="D458" s="799"/>
      <c r="E458" s="799"/>
      <c r="F458" s="799"/>
      <c r="G458" s="789"/>
    </row>
    <row r="459" spans="1:9">
      <c r="A459" s="796"/>
      <c r="B459" s="1774" t="s">
        <v>2659</v>
      </c>
      <c r="C459" s="828"/>
      <c r="D459" s="1923" t="s">
        <v>1321</v>
      </c>
      <c r="E459" s="1923"/>
      <c r="F459" s="1923"/>
      <c r="G459" s="789"/>
    </row>
    <row r="460" spans="1:9">
      <c r="D460" s="1923"/>
      <c r="E460" s="1923"/>
      <c r="F460" s="1923"/>
      <c r="G460" s="789"/>
    </row>
    <row r="461" spans="1:9">
      <c r="D461" s="1923"/>
      <c r="E461" s="1923"/>
      <c r="F461" s="1923"/>
      <c r="G461" s="789"/>
    </row>
    <row r="462" spans="1:9">
      <c r="D462" s="783"/>
      <c r="E462" s="783"/>
      <c r="F462" s="783"/>
      <c r="G462" s="789"/>
    </row>
    <row r="463" spans="1:9">
      <c r="B463" s="1774" t="s">
        <v>2659</v>
      </c>
      <c r="C463" s="796"/>
      <c r="D463" s="1959" t="s">
        <v>1400</v>
      </c>
      <c r="E463" s="1959"/>
      <c r="F463" s="1959"/>
      <c r="G463" s="789"/>
    </row>
    <row r="464" spans="1:9">
      <c r="D464" s="1959"/>
      <c r="E464" s="1959"/>
      <c r="F464" s="1959"/>
      <c r="G464" s="789"/>
    </row>
    <row r="465" spans="1:7">
      <c r="D465" s="799"/>
      <c r="E465" s="799"/>
      <c r="F465" s="799"/>
      <c r="G465" s="789"/>
    </row>
    <row r="466" spans="1:7">
      <c r="B466" s="1774" t="s">
        <v>2659</v>
      </c>
      <c r="C466" s="796"/>
      <c r="D466" s="1959" t="s">
        <v>1323</v>
      </c>
      <c r="E466" s="1959"/>
      <c r="F466" s="1959"/>
      <c r="G466" s="789"/>
    </row>
    <row r="467" spans="1:7">
      <c r="D467" s="1959"/>
      <c r="E467" s="1959"/>
      <c r="F467" s="1959"/>
      <c r="G467" s="789"/>
    </row>
    <row r="468" spans="1:7">
      <c r="D468" s="1959"/>
      <c r="E468" s="1959"/>
      <c r="F468" s="1959"/>
      <c r="G468" s="789"/>
    </row>
    <row r="469" spans="1:7">
      <c r="D469" s="1959"/>
      <c r="E469" s="1959"/>
      <c r="F469" s="1959"/>
      <c r="G469" s="789"/>
    </row>
    <row r="470" spans="1:7">
      <c r="B470" s="1774" t="s">
        <v>2659</v>
      </c>
      <c r="D470" s="1959"/>
      <c r="E470" s="1959"/>
      <c r="F470" s="1959"/>
      <c r="G470" s="789"/>
    </row>
    <row r="471" spans="1:7">
      <c r="A471" s="789"/>
      <c r="B471" s="789"/>
      <c r="C471" s="789"/>
      <c r="D471" s="1959"/>
      <c r="E471" s="1959"/>
      <c r="F471" s="1959"/>
      <c r="G471" s="789"/>
    </row>
    <row r="472" spans="1:7">
      <c r="A472" s="789"/>
      <c r="C472" s="789"/>
      <c r="D472" s="1959"/>
      <c r="E472" s="1959"/>
      <c r="F472" s="1959"/>
      <c r="G472" s="789"/>
    </row>
    <row r="473" spans="1:7">
      <c r="A473" s="789"/>
      <c r="B473" s="1774" t="s">
        <v>2659</v>
      </c>
      <c r="C473" s="789"/>
      <c r="D473" s="1959"/>
      <c r="E473" s="1959"/>
      <c r="F473" s="1959"/>
      <c r="G473" s="789"/>
    </row>
    <row r="474" spans="1:7">
      <c r="A474" s="789"/>
      <c r="B474" s="789"/>
      <c r="C474" s="789"/>
      <c r="D474" s="1959"/>
      <c r="E474" s="1959"/>
      <c r="F474" s="1959"/>
      <c r="G474" s="789"/>
    </row>
    <row r="475" spans="1:7">
      <c r="A475" s="789"/>
      <c r="C475" s="789"/>
      <c r="D475" s="1959"/>
      <c r="E475" s="1959"/>
      <c r="F475" s="1959"/>
      <c r="G475" s="789"/>
    </row>
    <row r="476" spans="1:7">
      <c r="A476" s="789"/>
      <c r="C476" s="789"/>
      <c r="D476" s="1959"/>
      <c r="E476" s="1959"/>
      <c r="F476" s="1959"/>
      <c r="G476" s="789"/>
    </row>
    <row r="477" spans="1:7">
      <c r="A477" s="789"/>
      <c r="C477" s="789"/>
      <c r="D477" s="1959"/>
      <c r="E477" s="1959"/>
      <c r="F477" s="1959"/>
      <c r="G477" s="789"/>
    </row>
    <row r="478" spans="1:7">
      <c r="A478" s="789"/>
      <c r="B478" s="1774" t="s">
        <v>2659</v>
      </c>
      <c r="C478" s="789"/>
      <c r="D478" s="1959"/>
      <c r="E478" s="1959"/>
      <c r="F478" s="1959"/>
      <c r="G478" s="789"/>
    </row>
    <row r="479" spans="1:7">
      <c r="A479" s="789"/>
      <c r="C479" s="789"/>
      <c r="D479" s="1959"/>
      <c r="E479" s="1959"/>
      <c r="F479" s="1959"/>
      <c r="G479" s="789"/>
    </row>
    <row r="480" spans="1:7">
      <c r="A480" s="789"/>
      <c r="B480" s="1774" t="s">
        <v>2659</v>
      </c>
      <c r="C480" s="789"/>
      <c r="D480" s="1959" t="s">
        <v>1324</v>
      </c>
      <c r="E480" s="1959"/>
      <c r="F480" s="1959"/>
      <c r="G480" s="789"/>
    </row>
    <row r="481" spans="1:9">
      <c r="A481" s="789"/>
      <c r="B481" s="789"/>
      <c r="C481" s="789"/>
      <c r="D481" s="1959"/>
      <c r="E481" s="1959"/>
      <c r="F481" s="1959"/>
      <c r="G481" s="789"/>
    </row>
    <row r="482" spans="1:9">
      <c r="A482" s="789"/>
      <c r="B482" s="789"/>
      <c r="C482" s="789"/>
      <c r="D482" s="1959"/>
      <c r="E482" s="1959"/>
      <c r="F482" s="1959"/>
      <c r="G482" s="789"/>
    </row>
    <row r="483" spans="1:9">
      <c r="A483" s="789"/>
      <c r="B483" s="789"/>
      <c r="C483" s="789"/>
      <c r="D483" s="1959"/>
      <c r="E483" s="1959"/>
      <c r="F483" s="1959"/>
      <c r="G483" s="789"/>
    </row>
    <row r="484" spans="1:9">
      <c r="D484" s="1959"/>
      <c r="E484" s="1959"/>
      <c r="F484" s="1959"/>
    </row>
    <row r="485" spans="1:9">
      <c r="D485" s="799"/>
      <c r="E485" s="799"/>
      <c r="F485" s="799"/>
    </row>
    <row r="486" spans="1:9">
      <c r="B486" s="1774" t="s">
        <v>2659</v>
      </c>
      <c r="D486" s="1962" t="s">
        <v>1325</v>
      </c>
      <c r="E486" s="1962"/>
      <c r="F486" s="1962"/>
    </row>
    <row r="487" spans="1:9">
      <c r="A487" s="799"/>
      <c r="B487" s="799"/>
    </row>
    <row r="488" spans="1:9">
      <c r="A488" s="1888" t="s">
        <v>1166</v>
      </c>
      <c r="B488" s="1888"/>
      <c r="C488" s="1888"/>
      <c r="D488" s="1888"/>
      <c r="E488" s="1888"/>
      <c r="F488" s="1888"/>
      <c r="G488" s="1888"/>
      <c r="H488" s="1852"/>
      <c r="I488" s="1853"/>
    </row>
    <row r="489" spans="1:9">
      <c r="A489" s="799"/>
      <c r="B489" s="799"/>
    </row>
    <row r="490" spans="1:9">
      <c r="D490" s="1939" t="s">
        <v>947</v>
      </c>
      <c r="E490" s="1939"/>
      <c r="F490" s="1939"/>
    </row>
    <row r="491" spans="1:9" s="790" customFormat="1">
      <c r="A491" s="804"/>
      <c r="B491" s="804"/>
      <c r="C491" s="800"/>
      <c r="D491" s="1940" t="s">
        <v>1326</v>
      </c>
      <c r="E491" s="1940"/>
      <c r="F491" s="1940"/>
      <c r="G491" s="801"/>
      <c r="I491" s="1836"/>
    </row>
    <row r="492" spans="1:9" s="790" customFormat="1">
      <c r="A492" s="804"/>
      <c r="B492" s="804"/>
      <c r="C492" s="800"/>
      <c r="D492" s="786"/>
      <c r="E492" s="671"/>
      <c r="F492" s="671"/>
      <c r="G492" s="801"/>
      <c r="I492" s="1836"/>
    </row>
    <row r="493" spans="1:9" s="790" customFormat="1">
      <c r="A493" s="796"/>
      <c r="B493" s="797" t="s">
        <v>2659</v>
      </c>
      <c r="C493" s="800"/>
      <c r="D493" s="1941" t="s">
        <v>1327</v>
      </c>
      <c r="E493" s="1941"/>
      <c r="F493" s="1941"/>
      <c r="G493" s="801"/>
      <c r="I493" s="1836" t="s">
        <v>2437</v>
      </c>
    </row>
    <row r="494" spans="1:9" s="790" customFormat="1">
      <c r="A494" s="796"/>
      <c r="B494" s="796"/>
      <c r="C494" s="800"/>
      <c r="D494" s="1941"/>
      <c r="E494" s="1941"/>
      <c r="F494" s="1941"/>
      <c r="G494" s="801"/>
      <c r="I494" s="1836"/>
    </row>
    <row r="495" spans="1:9" s="790" customFormat="1">
      <c r="A495" s="796"/>
      <c r="B495" s="796"/>
      <c r="C495" s="800"/>
      <c r="D495" s="784"/>
      <c r="E495" s="671"/>
      <c r="F495" s="671"/>
      <c r="G495" s="801"/>
      <c r="I495" s="1836"/>
    </row>
    <row r="496" spans="1:9" ht="12.75" customHeight="1">
      <c r="B496" s="1774" t="s">
        <v>2659</v>
      </c>
      <c r="D496" s="1911" t="s">
        <v>1506</v>
      </c>
      <c r="E496" s="1911"/>
      <c r="F496" s="1911"/>
      <c r="I496" s="1773" t="s">
        <v>2438</v>
      </c>
    </row>
    <row r="497" spans="1:9">
      <c r="A497" s="796"/>
      <c r="D497" s="1911"/>
      <c r="E497" s="1911"/>
      <c r="F497" s="1911"/>
    </row>
    <row r="498" spans="1:9">
      <c r="A498" s="796"/>
      <c r="B498" s="796"/>
      <c r="D498" s="1911"/>
      <c r="E498" s="1911"/>
      <c r="F498" s="1911"/>
    </row>
    <row r="499" spans="1:9">
      <c r="A499" s="796"/>
      <c r="B499" s="796"/>
      <c r="D499" s="1911"/>
      <c r="E499" s="1911"/>
      <c r="F499" s="1911"/>
    </row>
    <row r="500" spans="1:9">
      <c r="A500" s="796"/>
      <c r="D500" s="892"/>
      <c r="E500" s="892"/>
      <c r="F500" s="892"/>
      <c r="G500" s="789"/>
    </row>
    <row r="501" spans="1:9">
      <c r="A501" s="796"/>
      <c r="B501" s="1774" t="s">
        <v>2659</v>
      </c>
      <c r="D501" s="1928" t="s">
        <v>1330</v>
      </c>
      <c r="E501" s="1928"/>
      <c r="F501" s="1928"/>
      <c r="G501" s="789"/>
      <c r="I501" s="1773" t="s">
        <v>2439</v>
      </c>
    </row>
    <row r="502" spans="1:9">
      <c r="A502" s="796"/>
      <c r="B502" s="796"/>
      <c r="D502" s="784"/>
      <c r="E502" s="671"/>
      <c r="F502" s="671"/>
      <c r="G502" s="789"/>
    </row>
    <row r="503" spans="1:9">
      <c r="A503" s="796"/>
      <c r="B503" s="1774" t="s">
        <v>2659</v>
      </c>
      <c r="D503" s="1923" t="s">
        <v>1331</v>
      </c>
      <c r="E503" s="1923"/>
      <c r="F503" s="1923"/>
      <c r="G503" s="789"/>
      <c r="I503" s="1773" t="s">
        <v>2439</v>
      </c>
    </row>
    <row r="504" spans="1:9">
      <c r="A504" s="796"/>
      <c r="D504" s="1923"/>
      <c r="E504" s="1923"/>
      <c r="F504" s="1923"/>
      <c r="G504" s="789"/>
    </row>
    <row r="505" spans="1:9">
      <c r="A505" s="815"/>
      <c r="B505" s="815"/>
      <c r="D505" s="732"/>
      <c r="E505" s="671"/>
      <c r="F505" s="671"/>
      <c r="G505" s="789"/>
    </row>
    <row r="506" spans="1:9">
      <c r="A506" s="815"/>
      <c r="B506" s="1774" t="s">
        <v>2659</v>
      </c>
      <c r="D506" s="1928" t="s">
        <v>1332</v>
      </c>
      <c r="E506" s="1928"/>
      <c r="F506" s="1928"/>
      <c r="G506" s="789"/>
      <c r="I506" s="1773" t="s">
        <v>2494</v>
      </c>
    </row>
    <row r="507" spans="1:9">
      <c r="A507" s="796"/>
      <c r="B507" s="796"/>
      <c r="D507" s="799"/>
    </row>
    <row r="508" spans="1:9">
      <c r="A508" s="1888" t="s">
        <v>1167</v>
      </c>
      <c r="B508" s="1888"/>
      <c r="C508" s="1888"/>
      <c r="D508" s="1888"/>
      <c r="E508" s="1888"/>
      <c r="F508" s="1888"/>
      <c r="G508" s="1888"/>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4" t="s">
        <v>850</v>
      </c>
      <c r="E510" s="1964"/>
      <c r="F510" s="1964"/>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2658</v>
      </c>
      <c r="C514" s="798"/>
      <c r="D514" s="1922" t="s">
        <v>2265</v>
      </c>
      <c r="E514" s="1922"/>
      <c r="F514" s="1922"/>
      <c r="G514" s="671"/>
      <c r="I514" s="621" t="s">
        <v>2474</v>
      </c>
    </row>
    <row r="515" spans="1:9" s="721" customFormat="1">
      <c r="A515" s="794"/>
      <c r="B515" s="794"/>
      <c r="C515" s="798"/>
      <c r="D515" s="1922"/>
      <c r="E515" s="1922"/>
      <c r="F515" s="1922"/>
      <c r="G515" s="671"/>
      <c r="I515" s="621"/>
    </row>
    <row r="516" spans="1:9" s="721" customFormat="1">
      <c r="A516" s="794"/>
      <c r="B516" s="794"/>
      <c r="C516" s="798"/>
      <c r="D516" s="1706"/>
      <c r="E516" s="1706"/>
      <c r="F516" s="1706"/>
      <c r="G516" s="671"/>
    </row>
    <row r="517" spans="1:9" s="721" customFormat="1">
      <c r="A517" s="794"/>
      <c r="B517" s="797" t="s">
        <v>2659</v>
      </c>
      <c r="C517" s="803"/>
      <c r="D517" s="1922" t="s">
        <v>1205</v>
      </c>
      <c r="E517" s="1922"/>
      <c r="F517" s="1922"/>
      <c r="G517" s="671"/>
      <c r="I517" s="621" t="s">
        <v>2440</v>
      </c>
    </row>
    <row r="518" spans="1:9" s="721" customFormat="1">
      <c r="A518" s="794"/>
      <c r="B518" s="794"/>
      <c r="C518" s="803"/>
      <c r="D518" s="1922"/>
      <c r="E518" s="1922"/>
      <c r="F518" s="1922"/>
      <c r="G518" s="671"/>
      <c r="I518" s="621"/>
    </row>
    <row r="519" spans="1:9" s="721" customFormat="1">
      <c r="A519" s="794"/>
      <c r="B519" s="794"/>
      <c r="C519" s="798"/>
      <c r="D519" s="1922"/>
      <c r="E519" s="1922"/>
      <c r="F519" s="1922"/>
      <c r="G519" s="671"/>
      <c r="I519" s="621"/>
    </row>
    <row r="520" spans="1:9" s="721" customFormat="1">
      <c r="A520" s="794"/>
      <c r="B520" s="794"/>
      <c r="C520" s="798"/>
      <c r="D520" s="832"/>
      <c r="E520" s="671"/>
      <c r="F520" s="784"/>
      <c r="G520" s="671"/>
      <c r="I520" s="621"/>
    </row>
    <row r="521" spans="1:9" s="721" customFormat="1" ht="13.25" customHeight="1">
      <c r="A521" s="794"/>
      <c r="B521" s="797" t="s">
        <v>2659</v>
      </c>
      <c r="C521" s="798"/>
      <c r="D521" s="1968" t="s">
        <v>1231</v>
      </c>
      <c r="E521" s="1968"/>
      <c r="F521" s="1968"/>
      <c r="G521" s="671"/>
      <c r="I521" s="621" t="s">
        <v>2440</v>
      </c>
    </row>
    <row r="522" spans="1:9" s="721" customFormat="1">
      <c r="A522" s="794"/>
      <c r="B522" s="794"/>
      <c r="C522" s="798"/>
      <c r="D522" s="1968"/>
      <c r="E522" s="1968"/>
      <c r="F522" s="1968"/>
      <c r="G522" s="671"/>
      <c r="I522" s="621"/>
    </row>
    <row r="523" spans="1:9" s="721" customFormat="1" ht="12" customHeight="1">
      <c r="A523" s="799"/>
      <c r="B523" s="799"/>
      <c r="C523" s="807"/>
      <c r="D523" s="799"/>
      <c r="E523" s="671"/>
      <c r="F523" s="834"/>
      <c r="G523" s="671"/>
      <c r="I523" s="621"/>
    </row>
    <row r="524" spans="1:9">
      <c r="A524" s="1888" t="s">
        <v>1168</v>
      </c>
      <c r="B524" s="1888"/>
      <c r="C524" s="1888"/>
      <c r="D524" s="1888"/>
      <c r="E524" s="1888"/>
      <c r="F524" s="1888"/>
      <c r="G524" s="1888"/>
      <c r="H524" s="1852"/>
      <c r="I524" s="1853"/>
    </row>
    <row r="525" spans="1:9">
      <c r="A525" s="799"/>
      <c r="B525" s="799"/>
      <c r="C525" s="828"/>
      <c r="F525" s="835"/>
    </row>
    <row r="526" spans="1:9">
      <c r="B526" s="1960" t="s">
        <v>469</v>
      </c>
      <c r="C526" s="1960"/>
      <c r="D526" s="1960"/>
      <c r="E526" s="1960"/>
      <c r="F526" s="1960"/>
    </row>
    <row r="527" spans="1:9">
      <c r="A527" s="799"/>
      <c r="B527" s="799"/>
      <c r="C527" s="828"/>
      <c r="D527" s="799"/>
      <c r="F527" s="799"/>
    </row>
    <row r="528" spans="1:9">
      <c r="A528" s="1889" t="s">
        <v>1169</v>
      </c>
      <c r="B528" s="1889"/>
      <c r="C528" s="1889"/>
      <c r="D528" s="1889"/>
      <c r="E528" s="1889"/>
      <c r="F528" s="1889"/>
      <c r="G528" s="1889"/>
      <c r="H528" s="1852"/>
      <c r="I528" s="1853"/>
    </row>
    <row r="529" spans="1:9">
      <c r="A529" s="799"/>
      <c r="B529" s="799"/>
      <c r="C529" s="828"/>
      <c r="D529" s="799"/>
      <c r="F529" s="799"/>
    </row>
    <row r="530" spans="1:9">
      <c r="C530" s="828"/>
      <c r="D530" s="1878" t="s">
        <v>719</v>
      </c>
      <c r="E530" s="1878"/>
      <c r="F530" s="1878"/>
    </row>
    <row r="531" spans="1:9">
      <c r="C531" s="828"/>
      <c r="D531" s="1928" t="s">
        <v>1226</v>
      </c>
      <c r="E531" s="1928"/>
      <c r="F531" s="1928"/>
    </row>
    <row r="532" spans="1:9">
      <c r="C532" s="828"/>
      <c r="D532" s="784"/>
      <c r="E532" s="784"/>
      <c r="F532" s="784"/>
    </row>
    <row r="533" spans="1:9" ht="13.75" customHeight="1">
      <c r="A533" s="796"/>
      <c r="B533" s="797" t="s">
        <v>2658</v>
      </c>
      <c r="C533" s="828"/>
      <c r="D533" s="1928" t="s">
        <v>948</v>
      </c>
      <c r="E533" s="1928"/>
      <c r="F533" s="1928"/>
      <c r="G533" s="789"/>
      <c r="I533" s="1773" t="s">
        <v>2492</v>
      </c>
    </row>
    <row r="534" spans="1:9" ht="13.75" customHeight="1">
      <c r="A534" s="828"/>
      <c r="B534" s="828"/>
      <c r="C534" s="828"/>
      <c r="D534" s="784"/>
      <c r="E534" s="617"/>
      <c r="F534" s="617"/>
      <c r="G534" s="789"/>
    </row>
    <row r="535" spans="1:9">
      <c r="A535" s="796"/>
      <c r="B535" s="797" t="s">
        <v>2658</v>
      </c>
      <c r="C535" s="828"/>
      <c r="D535" s="1923" t="s">
        <v>1227</v>
      </c>
      <c r="E535" s="1923"/>
      <c r="F535" s="1923"/>
      <c r="G535" s="789"/>
      <c r="I535" s="1773" t="s">
        <v>2492</v>
      </c>
    </row>
    <row r="536" spans="1:9">
      <c r="A536" s="828"/>
      <c r="B536" s="828"/>
      <c r="C536" s="828"/>
      <c r="D536" s="1923"/>
      <c r="E536" s="1923"/>
      <c r="F536" s="1923"/>
      <c r="G536" s="789"/>
    </row>
    <row r="537" spans="1:9">
      <c r="A537" s="828"/>
      <c r="B537" s="828"/>
      <c r="C537" s="828"/>
      <c r="D537" s="799"/>
      <c r="E537" s="799"/>
      <c r="F537" s="799"/>
      <c r="G537" s="789"/>
    </row>
    <row r="538" spans="1:9">
      <c r="A538" s="796"/>
      <c r="B538" s="797" t="s">
        <v>2658</v>
      </c>
      <c r="C538" s="828"/>
      <c r="D538" s="1923" t="s">
        <v>1228</v>
      </c>
      <c r="E538" s="1923"/>
      <c r="F538" s="1923"/>
      <c r="G538" s="789"/>
      <c r="I538" s="1773" t="s">
        <v>2441</v>
      </c>
    </row>
    <row r="539" spans="1:9">
      <c r="A539" s="828"/>
      <c r="B539" s="828"/>
      <c r="C539" s="828"/>
      <c r="D539" s="1923"/>
      <c r="E539" s="1923"/>
      <c r="F539" s="1923"/>
      <c r="G539" s="789"/>
    </row>
    <row r="540" spans="1:9">
      <c r="A540" s="828"/>
      <c r="B540" s="828"/>
      <c r="C540" s="828"/>
      <c r="D540" s="799"/>
      <c r="E540" s="799"/>
      <c r="F540" s="799"/>
      <c r="G540" s="789"/>
    </row>
    <row r="541" spans="1:9">
      <c r="A541" s="796"/>
      <c r="B541" s="797" t="s">
        <v>2658</v>
      </c>
      <c r="C541" s="828"/>
      <c r="D541" s="1923" t="s">
        <v>1229</v>
      </c>
      <c r="E541" s="1923"/>
      <c r="F541" s="1923"/>
      <c r="G541" s="789"/>
      <c r="I541" s="1773" t="s">
        <v>2442</v>
      </c>
    </row>
    <row r="542" spans="1:9">
      <c r="A542" s="828"/>
      <c r="B542" s="828"/>
      <c r="C542" s="828"/>
      <c r="D542" s="1923"/>
      <c r="E542" s="1923"/>
      <c r="F542" s="1923"/>
      <c r="G542" s="789"/>
    </row>
    <row r="543" spans="1:9">
      <c r="A543" s="828"/>
      <c r="B543" s="828"/>
      <c r="C543" s="828"/>
      <c r="D543" s="799"/>
      <c r="E543" s="799"/>
      <c r="F543" s="799"/>
      <c r="G543" s="789"/>
    </row>
    <row r="544" spans="1:9">
      <c r="A544" s="796"/>
      <c r="B544" s="797" t="s">
        <v>2658</v>
      </c>
      <c r="C544" s="828"/>
      <c r="D544" s="1923" t="s">
        <v>1230</v>
      </c>
      <c r="E544" s="1923"/>
      <c r="F544" s="1923"/>
      <c r="G544" s="789"/>
      <c r="I544" s="1773" t="s">
        <v>2493</v>
      </c>
    </row>
    <row r="545" spans="1:9">
      <c r="A545" s="828"/>
      <c r="B545" s="828"/>
      <c r="C545" s="828"/>
      <c r="D545" s="1923"/>
      <c r="E545" s="1923"/>
      <c r="F545" s="1923"/>
      <c r="G545" s="789"/>
    </row>
    <row r="546" spans="1:9">
      <c r="A546" s="828"/>
      <c r="B546" s="828"/>
      <c r="C546" s="828"/>
      <c r="D546" s="1923"/>
      <c r="E546" s="1923"/>
      <c r="F546" s="1923"/>
      <c r="G546" s="789"/>
    </row>
    <row r="547" spans="1:9">
      <c r="A547" s="828"/>
      <c r="B547" s="828"/>
      <c r="C547" s="828"/>
      <c r="D547" s="799"/>
      <c r="E547" s="799"/>
      <c r="F547" s="799"/>
    </row>
    <row r="548" spans="1:9">
      <c r="A548" s="796"/>
      <c r="B548" s="797" t="s">
        <v>2659</v>
      </c>
      <c r="C548" s="828"/>
      <c r="D548" s="1968" t="s">
        <v>1348</v>
      </c>
      <c r="E548" s="1968"/>
      <c r="F548" s="1968"/>
      <c r="I548" s="1773" t="s">
        <v>2492</v>
      </c>
    </row>
    <row r="549" spans="1:9">
      <c r="A549" s="828"/>
      <c r="B549" s="828"/>
      <c r="C549" s="828"/>
      <c r="D549" s="1968"/>
      <c r="E549" s="1968"/>
      <c r="F549" s="1968"/>
    </row>
    <row r="550" spans="1:9">
      <c r="A550" s="828"/>
      <c r="B550" s="828"/>
      <c r="C550" s="828"/>
      <c r="D550" s="799"/>
      <c r="E550" s="799"/>
      <c r="F550" s="799"/>
    </row>
    <row r="551" spans="1:9">
      <c r="A551" s="796"/>
      <c r="B551" s="797" t="s">
        <v>2658</v>
      </c>
      <c r="C551" s="828"/>
      <c r="D551" s="1923" t="s">
        <v>1232</v>
      </c>
      <c r="E551" s="1923"/>
      <c r="F551" s="1923"/>
      <c r="I551" s="1773" t="s">
        <v>2492</v>
      </c>
    </row>
    <row r="552" spans="1:9">
      <c r="A552" s="828"/>
      <c r="B552" s="828"/>
      <c r="C552" s="828"/>
      <c r="D552" s="1923"/>
      <c r="E552" s="1923"/>
      <c r="F552" s="1923"/>
      <c r="G552" s="818"/>
    </row>
    <row r="553" spans="1:9">
      <c r="A553" s="828"/>
      <c r="B553" s="828"/>
      <c r="C553" s="828"/>
      <c r="D553" s="799"/>
      <c r="E553" s="799"/>
      <c r="F553" s="799"/>
      <c r="G553" s="818"/>
    </row>
    <row r="554" spans="1:9">
      <c r="A554" s="796"/>
      <c r="B554" s="797" t="s">
        <v>2658</v>
      </c>
      <c r="C554" s="828"/>
      <c r="D554" s="1928" t="s">
        <v>1233</v>
      </c>
      <c r="E554" s="1928"/>
      <c r="F554" s="1928"/>
      <c r="G554" s="818"/>
      <c r="I554" s="1773" t="s">
        <v>2495</v>
      </c>
    </row>
    <row r="555" spans="1:9">
      <c r="A555" s="815"/>
      <c r="B555" s="815"/>
      <c r="C555" s="828"/>
      <c r="D555" s="1928" t="s">
        <v>880</v>
      </c>
      <c r="E555" s="1928"/>
      <c r="F555" s="1928"/>
      <c r="G555" s="818"/>
    </row>
    <row r="556" spans="1:9">
      <c r="A556" s="815"/>
      <c r="B556" s="815"/>
      <c r="C556" s="828"/>
      <c r="D556" s="671"/>
      <c r="E556" s="1971" t="s">
        <v>1234</v>
      </c>
      <c r="F556" s="1971"/>
      <c r="G556" s="818"/>
    </row>
    <row r="557" spans="1:9">
      <c r="A557" s="796"/>
      <c r="B557" s="796"/>
      <c r="C557" s="828"/>
      <c r="E557" s="799"/>
      <c r="F557" s="799"/>
      <c r="G557" s="818"/>
    </row>
    <row r="558" spans="1:9">
      <c r="A558" s="796"/>
      <c r="B558" s="797" t="s">
        <v>2658</v>
      </c>
      <c r="C558" s="828"/>
      <c r="D558" s="1970" t="s">
        <v>1235</v>
      </c>
      <c r="E558" s="1970"/>
      <c r="F558" s="1970"/>
      <c r="G558" s="818"/>
      <c r="I558" s="1773" t="s">
        <v>2443</v>
      </c>
    </row>
    <row r="559" spans="1:9">
      <c r="C559" s="828"/>
      <c r="D559" s="1923" t="s">
        <v>1236</v>
      </c>
      <c r="E559" s="1923"/>
      <c r="F559" s="1923"/>
      <c r="G559" s="818"/>
    </row>
    <row r="560" spans="1:9">
      <c r="A560" s="828"/>
      <c r="B560" s="828"/>
      <c r="C560" s="828"/>
      <c r="D560" s="1923"/>
      <c r="E560" s="1923"/>
      <c r="F560" s="1923"/>
      <c r="G560" s="818"/>
    </row>
    <row r="561" spans="1:9">
      <c r="A561" s="828"/>
      <c r="B561" s="828"/>
      <c r="C561" s="828"/>
      <c r="D561" s="1923"/>
      <c r="E561" s="1923"/>
      <c r="F561" s="1923"/>
      <c r="G561" s="818"/>
    </row>
    <row r="562" spans="1:9">
      <c r="A562" s="828"/>
      <c r="B562" s="828"/>
      <c r="C562" s="828"/>
      <c r="D562" s="799"/>
      <c r="E562" s="799"/>
      <c r="F562" s="799"/>
      <c r="G562" s="818"/>
    </row>
    <row r="563" spans="1:9">
      <c r="A563" s="796"/>
      <c r="B563" s="797" t="s">
        <v>2658</v>
      </c>
      <c r="C563" s="828"/>
      <c r="D563" s="1923" t="s">
        <v>1237</v>
      </c>
      <c r="E563" s="1923"/>
      <c r="F563" s="1923"/>
      <c r="G563" s="818"/>
      <c r="I563" s="1773" t="s">
        <v>2444</v>
      </c>
    </row>
    <row r="564" spans="1:9">
      <c r="A564" s="796"/>
      <c r="B564" s="796"/>
      <c r="C564" s="828"/>
      <c r="D564" s="1923"/>
      <c r="E564" s="1923"/>
      <c r="F564" s="1923"/>
      <c r="G564" s="818"/>
    </row>
    <row r="565" spans="1:9">
      <c r="A565" s="796"/>
      <c r="B565" s="796"/>
      <c r="C565" s="828"/>
      <c r="D565" s="1923"/>
      <c r="E565" s="1923"/>
      <c r="F565" s="1923"/>
      <c r="G565" s="818"/>
    </row>
    <row r="566" spans="1:9">
      <c r="A566" s="796"/>
      <c r="B566" s="796"/>
      <c r="C566" s="828"/>
      <c r="D566" s="1923"/>
      <c r="E566" s="1923"/>
      <c r="F566" s="1923"/>
      <c r="G566" s="818"/>
    </row>
    <row r="567" spans="1:9">
      <c r="A567" s="796"/>
      <c r="B567" s="796"/>
      <c r="C567" s="828"/>
      <c r="D567" s="799"/>
      <c r="E567" s="799"/>
      <c r="F567" s="799"/>
      <c r="G567" s="818"/>
    </row>
    <row r="568" spans="1:9">
      <c r="A568" s="1888" t="s">
        <v>1170</v>
      </c>
      <c r="B568" s="1888"/>
      <c r="C568" s="1888"/>
      <c r="D568" s="1888"/>
      <c r="E568" s="1888"/>
      <c r="F568" s="1888"/>
      <c r="G568" s="1888"/>
      <c r="H568" s="1852"/>
      <c r="I568" s="1853"/>
    </row>
    <row r="569" spans="1:9">
      <c r="A569" s="828"/>
      <c r="B569" s="828"/>
      <c r="C569" s="828"/>
      <c r="E569" s="799"/>
      <c r="F569" s="799"/>
      <c r="G569" s="818"/>
    </row>
    <row r="570" spans="1:9" ht="12.75" customHeight="1">
      <c r="C570" s="792"/>
      <c r="D570" s="1961" t="s">
        <v>215</v>
      </c>
      <c r="E570" s="1961"/>
      <c r="F570" s="1961"/>
      <c r="G570" s="818"/>
    </row>
    <row r="571" spans="1:9">
      <c r="A571" s="794"/>
      <c r="B571" s="794"/>
      <c r="C571" s="794"/>
      <c r="D571" s="1910" t="s">
        <v>1186</v>
      </c>
      <c r="E571" s="1910"/>
      <c r="F571" s="1910"/>
      <c r="G571" s="818"/>
    </row>
    <row r="572" spans="1:9">
      <c r="A572" s="789"/>
      <c r="B572" s="789"/>
      <c r="C572" s="794"/>
      <c r="D572" s="836"/>
      <c r="G572" s="818"/>
      <c r="I572" s="1773" t="s">
        <v>2445</v>
      </c>
    </row>
    <row r="573" spans="1:9">
      <c r="A573" s="794"/>
      <c r="B573" s="797" t="s">
        <v>2658</v>
      </c>
      <c r="D573" s="1910" t="s">
        <v>954</v>
      </c>
      <c r="E573" s="1910"/>
      <c r="F573" s="1910"/>
      <c r="G573" s="818"/>
    </row>
    <row r="574" spans="1:9">
      <c r="A574" s="815"/>
      <c r="B574" s="815"/>
      <c r="D574" s="813"/>
    </row>
    <row r="575" spans="1:9">
      <c r="A575" s="815"/>
      <c r="B575" s="797" t="s">
        <v>2658</v>
      </c>
      <c r="D575" s="1911" t="s">
        <v>1187</v>
      </c>
      <c r="E575" s="1911"/>
      <c r="F575" s="1911"/>
      <c r="I575" s="1773" t="s">
        <v>2447</v>
      </c>
    </row>
    <row r="576" spans="1:9">
      <c r="A576" s="815"/>
      <c r="B576" s="815"/>
      <c r="D576" s="1911"/>
      <c r="E576" s="1911"/>
      <c r="F576" s="1911"/>
      <c r="G576" s="789"/>
      <c r="I576" s="1773" t="s">
        <v>2446</v>
      </c>
    </row>
    <row r="577" spans="1:9">
      <c r="A577" s="815"/>
      <c r="B577" s="815"/>
      <c r="D577" s="1911"/>
      <c r="E577" s="1911"/>
      <c r="F577" s="1911"/>
      <c r="G577" s="789"/>
    </row>
    <row r="578" spans="1:9">
      <c r="A578" s="815"/>
      <c r="B578" s="815"/>
      <c r="D578" s="1911"/>
      <c r="E578" s="1911"/>
      <c r="F578" s="1911"/>
      <c r="G578" s="789"/>
    </row>
    <row r="579" spans="1:9">
      <c r="A579" s="815"/>
      <c r="B579" s="797" t="s">
        <v>2659</v>
      </c>
      <c r="D579" s="1911" t="s">
        <v>1188</v>
      </c>
      <c r="E579" s="1911"/>
      <c r="F579" s="1911"/>
      <c r="G579" s="789"/>
    </row>
    <row r="580" spans="1:9">
      <c r="A580" s="815"/>
      <c r="B580" s="815"/>
      <c r="D580" s="1911"/>
      <c r="E580" s="1911"/>
      <c r="F580" s="1911"/>
      <c r="G580" s="789"/>
    </row>
    <row r="581" spans="1:9">
      <c r="A581" s="815"/>
      <c r="B581" s="815"/>
      <c r="D581" s="1911"/>
      <c r="E581" s="1911"/>
      <c r="F581" s="1911"/>
      <c r="G581" s="789"/>
    </row>
    <row r="582" spans="1:9">
      <c r="A582" s="815"/>
      <c r="B582" s="815"/>
      <c r="D582" s="1911"/>
      <c r="E582" s="1911"/>
      <c r="F582" s="1911"/>
      <c r="G582" s="789"/>
    </row>
    <row r="583" spans="1:9">
      <c r="A583" s="815"/>
      <c r="B583" s="815"/>
      <c r="D583" s="782"/>
      <c r="E583" s="782"/>
      <c r="F583" s="782"/>
      <c r="G583" s="789"/>
    </row>
    <row r="584" spans="1:9">
      <c r="A584" s="815"/>
      <c r="B584" s="797" t="s">
        <v>2658</v>
      </c>
      <c r="D584" s="1911" t="s">
        <v>1189</v>
      </c>
      <c r="E584" s="1911"/>
      <c r="F584" s="1911"/>
      <c r="G584" s="789"/>
    </row>
    <row r="585" spans="1:9">
      <c r="A585" s="815"/>
      <c r="B585" s="815"/>
      <c r="D585" s="1911"/>
      <c r="E585" s="1911"/>
      <c r="F585" s="1911"/>
      <c r="G585" s="789"/>
    </row>
    <row r="586" spans="1:9">
      <c r="A586" s="815"/>
      <c r="B586" s="815"/>
      <c r="D586" s="836"/>
      <c r="G586" s="789"/>
    </row>
    <row r="587" spans="1:9">
      <c r="A587" s="815"/>
      <c r="B587" s="797" t="s">
        <v>2659</v>
      </c>
      <c r="D587" s="1910" t="s">
        <v>1190</v>
      </c>
      <c r="E587" s="1910"/>
      <c r="F587" s="1910"/>
      <c r="G587" s="789"/>
      <c r="I587" s="1773" t="s">
        <v>2496</v>
      </c>
    </row>
    <row r="588" spans="1:9">
      <c r="A588" s="815"/>
      <c r="B588" s="815"/>
      <c r="D588" s="1910"/>
      <c r="E588" s="1910"/>
      <c r="F588" s="1910"/>
      <c r="G588" s="789"/>
    </row>
    <row r="589" spans="1:9">
      <c r="A589" s="796"/>
      <c r="B589" s="796"/>
      <c r="D589" s="836"/>
      <c r="G589" s="789"/>
    </row>
    <row r="590" spans="1:9">
      <c r="A590" s="1888" t="s">
        <v>1171</v>
      </c>
      <c r="B590" s="1888"/>
      <c r="C590" s="1888"/>
      <c r="D590" s="1888"/>
      <c r="E590" s="1888"/>
      <c r="F590" s="1888"/>
      <c r="G590" s="1888"/>
      <c r="H590" s="1852"/>
      <c r="I590" s="1853"/>
    </row>
    <row r="591" spans="1:9"/>
    <row r="592" spans="1:9">
      <c r="D592" s="1878" t="s">
        <v>1271</v>
      </c>
      <c r="E592" s="1878"/>
      <c r="F592" s="1878"/>
    </row>
    <row r="593" spans="1:9">
      <c r="D593" s="1879" t="s">
        <v>1272</v>
      </c>
      <c r="E593" s="1879"/>
      <c r="F593" s="1879"/>
    </row>
    <row r="594" spans="1:9">
      <c r="D594" s="779"/>
      <c r="E594" s="721"/>
      <c r="F594" s="721"/>
    </row>
    <row r="595" spans="1:9" s="790" customFormat="1">
      <c r="A595" s="804"/>
      <c r="B595" s="797" t="s">
        <v>2658</v>
      </c>
      <c r="C595" s="800"/>
      <c r="D595" s="1880" t="s">
        <v>1273</v>
      </c>
      <c r="E595" s="1880"/>
      <c r="F595" s="1880"/>
      <c r="G595" s="801"/>
      <c r="I595" s="1836" t="s">
        <v>2475</v>
      </c>
    </row>
    <row r="596" spans="1:9">
      <c r="D596" s="1880"/>
      <c r="E596" s="1880"/>
      <c r="F596" s="1880"/>
    </row>
    <row r="597" spans="1:9">
      <c r="D597" s="1880"/>
      <c r="E597" s="1880"/>
      <c r="F597" s="1880"/>
    </row>
    <row r="598" spans="1:9"/>
    <row r="599" spans="1:9">
      <c r="A599" s="1888" t="s">
        <v>1172</v>
      </c>
      <c r="B599" s="1888"/>
      <c r="C599" s="1888"/>
      <c r="D599" s="1888"/>
      <c r="E599" s="1888"/>
      <c r="F599" s="1888"/>
      <c r="G599" s="1888"/>
      <c r="H599" s="1852"/>
      <c r="I599" s="1853"/>
    </row>
    <row r="600" spans="1:9">
      <c r="A600" s="799"/>
      <c r="B600" s="799"/>
      <c r="G600" s="818"/>
    </row>
    <row r="601" spans="1:9">
      <c r="A601" s="837"/>
      <c r="B601" s="837"/>
      <c r="C601" s="792"/>
      <c r="D601" s="1881" t="s">
        <v>1274</v>
      </c>
      <c r="E601" s="1881"/>
      <c r="F601" s="1881"/>
      <c r="G601" s="818"/>
    </row>
    <row r="602" spans="1:9">
      <c r="A602" s="837"/>
      <c r="B602" s="837"/>
      <c r="C602" s="792"/>
      <c r="D602" s="1881"/>
      <c r="E602" s="1881"/>
      <c r="F602" s="1881"/>
      <c r="G602" s="818"/>
    </row>
    <row r="603" spans="1:9">
      <c r="C603" s="794"/>
      <c r="D603" s="1879" t="s">
        <v>1275</v>
      </c>
      <c r="E603" s="1879"/>
      <c r="F603" s="1879"/>
      <c r="G603" s="818"/>
    </row>
    <row r="604" spans="1:9">
      <c r="C604" s="794"/>
      <c r="D604" s="779"/>
      <c r="E604" s="779"/>
      <c r="F604" s="779"/>
      <c r="G604" s="818"/>
    </row>
    <row r="605" spans="1:9" ht="12.75" customHeight="1">
      <c r="A605" s="815"/>
      <c r="B605" s="797" t="s">
        <v>2658</v>
      </c>
      <c r="D605" s="1882" t="s">
        <v>1276</v>
      </c>
      <c r="E605" s="1882"/>
      <c r="F605" s="1882"/>
      <c r="G605" s="818"/>
      <c r="I605" s="1773" t="s">
        <v>2497</v>
      </c>
    </row>
    <row r="606" spans="1:9">
      <c r="D606" s="1882"/>
      <c r="E606" s="1882"/>
      <c r="F606" s="1882"/>
      <c r="G606" s="818"/>
    </row>
    <row r="607" spans="1:9">
      <c r="D607" s="789"/>
      <c r="G607" s="818"/>
    </row>
    <row r="608" spans="1:9">
      <c r="B608" s="797" t="s">
        <v>2658</v>
      </c>
      <c r="D608" s="1882" t="s">
        <v>1277</v>
      </c>
      <c r="E608" s="1882"/>
      <c r="F608" s="1882"/>
      <c r="G608" s="818"/>
      <c r="I608" s="1773" t="s">
        <v>2448</v>
      </c>
    </row>
    <row r="609" spans="1:9">
      <c r="C609" s="838"/>
      <c r="D609" s="1882"/>
      <c r="E609" s="1882"/>
      <c r="F609" s="1882"/>
      <c r="G609" s="818"/>
    </row>
    <row r="610" spans="1:9">
      <c r="C610" s="838"/>
      <c r="G610" s="818"/>
    </row>
    <row r="611" spans="1:9">
      <c r="B611" s="797" t="s">
        <v>2659</v>
      </c>
      <c r="C611" s="838"/>
      <c r="D611" s="1882" t="s">
        <v>1278</v>
      </c>
      <c r="E611" s="1882"/>
      <c r="F611" s="1882"/>
      <c r="G611" s="818"/>
      <c r="I611" s="1773" t="s">
        <v>2498</v>
      </c>
    </row>
    <row r="612" spans="1:9">
      <c r="C612" s="838"/>
      <c r="D612" s="1882"/>
      <c r="E612" s="1882"/>
      <c r="F612" s="1882"/>
      <c r="G612" s="818"/>
      <c r="I612" s="1849" t="s">
        <v>2499</v>
      </c>
    </row>
    <row r="613" spans="1:9">
      <c r="C613" s="838"/>
      <c r="G613" s="818"/>
    </row>
    <row r="614" spans="1:9">
      <c r="A614" s="1888" t="s">
        <v>1173</v>
      </c>
      <c r="B614" s="1888"/>
      <c r="C614" s="1888"/>
      <c r="D614" s="1888"/>
      <c r="E614" s="1888"/>
      <c r="F614" s="1888"/>
      <c r="G614" s="1888"/>
      <c r="H614" s="1852"/>
      <c r="I614" s="1853"/>
    </row>
    <row r="615" spans="1:9">
      <c r="A615" s="839"/>
      <c r="B615" s="839"/>
      <c r="C615" s="839"/>
      <c r="G615" s="818"/>
    </row>
    <row r="616" spans="1:9">
      <c r="C616" s="815"/>
      <c r="D616" s="1878" t="s">
        <v>1279</v>
      </c>
      <c r="E616" s="1878"/>
      <c r="F616" s="1878"/>
      <c r="G616" s="818"/>
    </row>
    <row r="617" spans="1:9">
      <c r="A617" s="815"/>
      <c r="B617" s="815"/>
      <c r="C617" s="817"/>
      <c r="D617" s="793"/>
      <c r="G617" s="818"/>
    </row>
    <row r="618" spans="1:9">
      <c r="A618" s="796"/>
      <c r="B618" s="797" t="s">
        <v>2658</v>
      </c>
      <c r="C618" s="817"/>
      <c r="D618" s="1923" t="s">
        <v>1500</v>
      </c>
      <c r="E618" s="1923"/>
      <c r="F618" s="1923"/>
      <c r="G618" s="818"/>
      <c r="I618" s="1773" t="s">
        <v>2476</v>
      </c>
    </row>
    <row r="619" spans="1:9">
      <c r="C619" s="817"/>
      <c r="D619" s="1923"/>
      <c r="E619" s="1923"/>
      <c r="F619" s="1923"/>
      <c r="G619" s="818"/>
    </row>
    <row r="620" spans="1:9">
      <c r="C620" s="817"/>
      <c r="D620" s="1923"/>
      <c r="E620" s="1923"/>
      <c r="F620" s="1923"/>
      <c r="G620" s="818"/>
    </row>
    <row r="621" spans="1:9">
      <c r="C621" s="817"/>
      <c r="D621" s="1923"/>
      <c r="E621" s="1923"/>
      <c r="F621" s="1923"/>
      <c r="G621" s="818"/>
    </row>
    <row r="622" spans="1:9">
      <c r="C622" s="817"/>
      <c r="D622" s="1923"/>
      <c r="E622" s="1923"/>
      <c r="F622" s="1923"/>
      <c r="G622" s="818"/>
    </row>
    <row r="623" spans="1:9">
      <c r="C623" s="817"/>
      <c r="D623" s="1923"/>
      <c r="E623" s="1923"/>
      <c r="F623" s="1923"/>
      <c r="G623" s="818"/>
    </row>
    <row r="624" spans="1:9">
      <c r="C624" s="817"/>
      <c r="D624" s="783"/>
      <c r="E624" s="783"/>
      <c r="F624" s="783"/>
      <c r="G624" s="818"/>
    </row>
    <row r="625" spans="1:9">
      <c r="A625" s="796"/>
      <c r="B625" s="797" t="s">
        <v>2659</v>
      </c>
      <c r="C625" s="817"/>
      <c r="D625" s="1923" t="s">
        <v>1281</v>
      </c>
      <c r="E625" s="1923"/>
      <c r="F625" s="1923"/>
      <c r="G625" s="818"/>
      <c r="I625" s="1773" t="s">
        <v>2500</v>
      </c>
    </row>
    <row r="626" spans="1:9">
      <c r="A626" s="828"/>
      <c r="B626" s="828"/>
      <c r="C626" s="828"/>
      <c r="D626" s="1923"/>
      <c r="E626" s="1923"/>
      <c r="F626" s="1923"/>
      <c r="G626" s="818"/>
    </row>
    <row r="627" spans="1:9">
      <c r="A627" s="828"/>
      <c r="B627" s="828"/>
      <c r="C627" s="828"/>
      <c r="D627" s="784"/>
      <c r="E627" s="840"/>
      <c r="F627" s="840"/>
      <c r="G627" s="818"/>
    </row>
    <row r="628" spans="1:9">
      <c r="A628" s="796"/>
      <c r="B628" s="797" t="s">
        <v>2659</v>
      </c>
      <c r="C628" s="828"/>
      <c r="D628" s="1880" t="s">
        <v>1438</v>
      </c>
      <c r="E628" s="1880"/>
      <c r="F628" s="1880"/>
      <c r="G628" s="818"/>
      <c r="I628" s="1773" t="s">
        <v>2449</v>
      </c>
    </row>
    <row r="629" spans="1:9">
      <c r="A629" s="796"/>
      <c r="B629" s="796"/>
      <c r="C629" s="828"/>
      <c r="D629" s="1880"/>
      <c r="E629" s="1880"/>
      <c r="F629" s="1880"/>
      <c r="G629" s="818"/>
    </row>
    <row r="630" spans="1:9">
      <c r="A630" s="796"/>
      <c r="B630" s="796"/>
      <c r="C630" s="828"/>
      <c r="D630" s="1880"/>
      <c r="E630" s="1880"/>
      <c r="F630" s="1880"/>
      <c r="G630" s="818"/>
    </row>
    <row r="631" spans="1:9">
      <c r="A631" s="828"/>
      <c r="B631" s="797" t="s">
        <v>2659</v>
      </c>
      <c r="C631" s="828"/>
      <c r="D631" s="1928" t="s">
        <v>1283</v>
      </c>
      <c r="E631" s="1928"/>
      <c r="F631" s="1928"/>
      <c r="G631" s="818"/>
      <c r="I631" s="1773" t="s">
        <v>2449</v>
      </c>
    </row>
    <row r="632" spans="1:9">
      <c r="A632" s="828"/>
      <c r="B632" s="828"/>
      <c r="C632" s="828"/>
      <c r="D632" s="726"/>
      <c r="E632" s="726"/>
      <c r="F632" s="726"/>
      <c r="G632" s="818"/>
    </row>
    <row r="633" spans="1:9">
      <c r="A633" s="1888" t="s">
        <v>1174</v>
      </c>
      <c r="B633" s="1888"/>
      <c r="C633" s="1888"/>
      <c r="D633" s="1888"/>
      <c r="E633" s="1888"/>
      <c r="F633" s="1888"/>
      <c r="G633" s="1888"/>
      <c r="H633" s="1852"/>
      <c r="I633" s="1853"/>
    </row>
    <row r="634" spans="1:9">
      <c r="A634" s="799"/>
      <c r="B634" s="799"/>
      <c r="C634" s="828"/>
      <c r="D634" s="840"/>
      <c r="E634" s="840"/>
      <c r="F634" s="840"/>
      <c r="G634" s="818"/>
    </row>
    <row r="635" spans="1:9">
      <c r="C635" s="839"/>
      <c r="D635" s="1988" t="s">
        <v>1333</v>
      </c>
      <c r="E635" s="1988"/>
      <c r="F635" s="1988"/>
      <c r="G635" s="818"/>
    </row>
    <row r="636" spans="1:9">
      <c r="A636" s="794"/>
      <c r="B636" s="794"/>
      <c r="C636" s="794"/>
      <c r="D636" s="1989" t="s">
        <v>1334</v>
      </c>
      <c r="E636" s="1989"/>
      <c r="F636" s="1989"/>
      <c r="G636" s="818"/>
    </row>
    <row r="637" spans="1:9">
      <c r="A637" s="794"/>
      <c r="B637" s="794"/>
      <c r="C637" s="794"/>
      <c r="D637" s="726"/>
      <c r="E637" s="726"/>
      <c r="F637" s="726"/>
      <c r="G637" s="818"/>
    </row>
    <row r="638" spans="1:9" ht="12.75" customHeight="1">
      <c r="B638" s="797" t="s">
        <v>2658</v>
      </c>
      <c r="C638" s="828"/>
      <c r="D638" s="1965" t="s">
        <v>1521</v>
      </c>
      <c r="E638" s="1965"/>
      <c r="F638" s="1965"/>
      <c r="I638" s="1773" t="s">
        <v>2503</v>
      </c>
    </row>
    <row r="639" spans="1:9">
      <c r="D639" s="1965"/>
      <c r="E639" s="1965"/>
      <c r="F639" s="1965"/>
    </row>
    <row r="640" spans="1:9">
      <c r="D640" s="1965"/>
      <c r="E640" s="1965"/>
      <c r="F640" s="1965"/>
    </row>
    <row r="641" spans="1:9">
      <c r="D641" s="1965"/>
      <c r="E641" s="1965"/>
      <c r="F641" s="1965"/>
    </row>
    <row r="642" spans="1:9" ht="14.5" customHeight="1">
      <c r="A642" s="796"/>
      <c r="B642" s="796"/>
      <c r="C642" s="828"/>
      <c r="D642" s="899"/>
      <c r="E642" s="899"/>
      <c r="F642" s="899"/>
      <c r="G642" s="818"/>
    </row>
    <row r="643" spans="1:9" ht="12.75" customHeight="1">
      <c r="A643" s="794"/>
      <c r="B643" s="797" t="s">
        <v>2658</v>
      </c>
      <c r="C643" s="828"/>
      <c r="D643" s="1965" t="s">
        <v>1524</v>
      </c>
      <c r="E643" s="1965"/>
      <c r="F643" s="1965"/>
      <c r="G643" s="818"/>
      <c r="I643" s="1773" t="s">
        <v>2503</v>
      </c>
    </row>
    <row r="644" spans="1:9">
      <c r="A644" s="794"/>
      <c r="B644" s="796"/>
      <c r="C644" s="828"/>
      <c r="D644" s="1965"/>
      <c r="E644" s="1965"/>
      <c r="F644" s="1965"/>
      <c r="G644" s="818"/>
    </row>
    <row r="645" spans="1:9">
      <c r="A645" s="794"/>
      <c r="B645" s="796"/>
      <c r="C645" s="828"/>
      <c r="D645" s="1965"/>
      <c r="E645" s="1965"/>
      <c r="F645" s="1965"/>
      <c r="G645" s="818"/>
    </row>
    <row r="646" spans="1:9">
      <c r="A646" s="794"/>
      <c r="B646" s="796"/>
      <c r="C646" s="828"/>
      <c r="D646" s="1965"/>
      <c r="E646" s="1965"/>
      <c r="F646" s="1965"/>
      <c r="G646" s="818"/>
    </row>
    <row r="647" spans="1:9">
      <c r="A647" s="794"/>
      <c r="B647" s="796"/>
      <c r="C647" s="828"/>
      <c r="D647" s="1965"/>
      <c r="E647" s="1965"/>
      <c r="F647" s="1965"/>
      <c r="G647" s="818"/>
    </row>
    <row r="648" spans="1:9" ht="14.25" customHeight="1">
      <c r="A648" s="794"/>
      <c r="B648" s="796"/>
      <c r="C648" s="828"/>
      <c r="F648" s="900"/>
      <c r="G648" s="818"/>
    </row>
    <row r="649" spans="1:9" ht="12.75" customHeight="1">
      <c r="A649" s="794"/>
      <c r="B649" s="797" t="s">
        <v>2658</v>
      </c>
      <c r="C649" s="828"/>
      <c r="D649" s="1965" t="s">
        <v>1522</v>
      </c>
      <c r="E649" s="1965"/>
      <c r="F649" s="1965"/>
      <c r="G649" s="818"/>
      <c r="I649" s="1773" t="s">
        <v>2503</v>
      </c>
    </row>
    <row r="650" spans="1:9">
      <c r="A650" s="794"/>
      <c r="B650" s="796"/>
      <c r="C650" s="828"/>
      <c r="D650" s="1965"/>
      <c r="E650" s="1965"/>
      <c r="F650" s="1965"/>
      <c r="G650" s="818"/>
    </row>
    <row r="651" spans="1:9">
      <c r="A651" s="796"/>
      <c r="B651" s="796"/>
      <c r="C651" s="828"/>
      <c r="D651" s="1965"/>
      <c r="E651" s="1965"/>
      <c r="F651" s="1965"/>
      <c r="G651" s="818"/>
    </row>
    <row r="652" spans="1:9">
      <c r="A652" s="796"/>
      <c r="B652" s="796"/>
      <c r="C652" s="828"/>
      <c r="D652" s="1965"/>
      <c r="E652" s="1965"/>
      <c r="F652" s="1965"/>
      <c r="G652" s="818"/>
    </row>
    <row r="653" spans="1:9">
      <c r="A653" s="796"/>
      <c r="B653" s="796"/>
      <c r="C653" s="828"/>
      <c r="D653" s="891"/>
      <c r="E653" s="891"/>
      <c r="F653" s="891"/>
      <c r="G653" s="818"/>
    </row>
    <row r="654" spans="1:9" ht="12.75" customHeight="1">
      <c r="A654" s="794"/>
      <c r="B654" s="797" t="s">
        <v>2658</v>
      </c>
      <c r="C654" s="828"/>
      <c r="D654" s="1965" t="s">
        <v>1523</v>
      </c>
      <c r="E654" s="1965"/>
      <c r="F654" s="1965"/>
      <c r="G654" s="818"/>
      <c r="I654" s="1773" t="s">
        <v>2503</v>
      </c>
    </row>
    <row r="655" spans="1:9" ht="12.75" customHeight="1">
      <c r="A655" s="794"/>
      <c r="B655" s="796"/>
      <c r="C655" s="828"/>
      <c r="D655" s="1965"/>
      <c r="E655" s="1965"/>
      <c r="F655" s="1965"/>
      <c r="G655" s="818"/>
    </row>
    <row r="656" spans="1:9" ht="12.75" customHeight="1">
      <c r="A656" s="794"/>
      <c r="B656" s="796"/>
      <c r="C656" s="828"/>
      <c r="D656" s="1965"/>
      <c r="E656" s="1965"/>
      <c r="F656" s="1965"/>
      <c r="G656" s="818"/>
    </row>
    <row r="657" spans="1:11" ht="12.75" customHeight="1">
      <c r="A657" s="794"/>
      <c r="B657" s="796"/>
      <c r="C657" s="828"/>
      <c r="D657" s="1965"/>
      <c r="E657" s="1965"/>
      <c r="F657" s="1965"/>
      <c r="G657" s="818"/>
    </row>
    <row r="658" spans="1:11" ht="12.75" customHeight="1">
      <c r="A658" s="794"/>
      <c r="B658" s="796"/>
      <c r="C658" s="828"/>
      <c r="D658" s="1965"/>
      <c r="E658" s="1965"/>
      <c r="F658" s="1965"/>
      <c r="G658" s="818"/>
    </row>
    <row r="659" spans="1:11" ht="12.75" customHeight="1">
      <c r="A659" s="794"/>
      <c r="B659" s="796"/>
      <c r="C659" s="828"/>
      <c r="D659" s="1965"/>
      <c r="E659" s="1965"/>
      <c r="F659" s="1965"/>
      <c r="G659" s="818"/>
    </row>
    <row r="660" spans="1:11" ht="12.75" customHeight="1">
      <c r="A660" s="794"/>
      <c r="B660" s="796"/>
      <c r="C660" s="828"/>
      <c r="D660" s="1965"/>
      <c r="E660" s="1965"/>
      <c r="F660" s="1965"/>
      <c r="G660" s="818"/>
    </row>
    <row r="661" spans="1:11" ht="12.75" customHeight="1">
      <c r="A661" s="794"/>
      <c r="B661" s="796"/>
      <c r="C661" s="828"/>
      <c r="D661" s="1965"/>
      <c r="E661" s="1965"/>
      <c r="F661" s="1965"/>
      <c r="G661" s="818"/>
    </row>
    <row r="662" spans="1:11" ht="12.75" customHeight="1">
      <c r="A662" s="794"/>
      <c r="B662" s="796"/>
      <c r="C662" s="828"/>
      <c r="D662" s="1965"/>
      <c r="E662" s="1965"/>
      <c r="F662" s="1965"/>
      <c r="G662" s="818"/>
    </row>
    <row r="663" spans="1:11">
      <c r="A663" s="828"/>
      <c r="B663" s="828"/>
      <c r="C663" s="828"/>
      <c r="D663" s="840"/>
      <c r="E663" s="840"/>
      <c r="F663" s="840"/>
      <c r="G663" s="818"/>
    </row>
    <row r="664" spans="1:11">
      <c r="A664" s="1888" t="s">
        <v>1175</v>
      </c>
      <c r="B664" s="1888"/>
      <c r="C664" s="1888"/>
      <c r="D664" s="1888"/>
      <c r="E664" s="1888"/>
      <c r="F664" s="1888"/>
      <c r="G664" s="1888"/>
      <c r="H664" s="1854"/>
      <c r="I664" s="1855"/>
      <c r="J664" s="841"/>
      <c r="K664" s="841"/>
    </row>
    <row r="665" spans="1:11">
      <c r="A665" s="734"/>
      <c r="B665" s="734"/>
      <c r="C665" s="734"/>
      <c r="D665" s="734"/>
      <c r="E665" s="734"/>
      <c r="F665" s="734"/>
      <c r="G665" s="734"/>
      <c r="H665" s="841"/>
      <c r="I665" s="1840"/>
      <c r="J665" s="841"/>
      <c r="K665" s="841"/>
    </row>
    <row r="666" spans="1:11">
      <c r="C666" s="839"/>
      <c r="D666" s="1878" t="s">
        <v>104</v>
      </c>
      <c r="E666" s="1878"/>
      <c r="F666" s="1878"/>
      <c r="G666" s="818"/>
      <c r="H666" s="841"/>
      <c r="I666" s="1840"/>
      <c r="J666" s="841"/>
      <c r="K666" s="841"/>
    </row>
    <row r="667" spans="1:11">
      <c r="A667" s="839"/>
      <c r="B667" s="839"/>
      <c r="C667" s="839"/>
      <c r="D667" s="1878" t="s">
        <v>128</v>
      </c>
      <c r="E667" s="1878"/>
      <c r="F667" s="1878"/>
      <c r="G667" s="818"/>
      <c r="H667" s="841"/>
      <c r="I667" s="1840"/>
      <c r="J667" s="841"/>
      <c r="K667" s="841"/>
    </row>
    <row r="668" spans="1:11">
      <c r="A668" s="794"/>
      <c r="B668" s="794"/>
      <c r="C668" s="794"/>
      <c r="D668" s="1928" t="s">
        <v>1211</v>
      </c>
      <c r="E668" s="1928"/>
      <c r="F668" s="1928"/>
      <c r="G668" s="818"/>
      <c r="H668" s="841"/>
      <c r="I668" s="1840"/>
      <c r="J668" s="841"/>
      <c r="K668" s="841"/>
    </row>
    <row r="669" spans="1:11">
      <c r="A669" s="794"/>
      <c r="B669" s="794"/>
      <c r="C669" s="794"/>
      <c r="G669" s="818"/>
      <c r="H669" s="841"/>
      <c r="I669" s="1840"/>
      <c r="J669" s="841"/>
      <c r="K669" s="841"/>
    </row>
    <row r="670" spans="1:11">
      <c r="A670" s="796"/>
      <c r="B670" s="797" t="s">
        <v>2658</v>
      </c>
      <c r="C670" s="794"/>
      <c r="D670" s="1928" t="s">
        <v>950</v>
      </c>
      <c r="E670" s="1928"/>
      <c r="F670" s="1928"/>
      <c r="G670" s="818"/>
      <c r="H670" s="841"/>
      <c r="I670" s="1840" t="s">
        <v>2477</v>
      </c>
      <c r="J670" s="841"/>
      <c r="K670" s="841"/>
    </row>
    <row r="671" spans="1:11">
      <c r="A671" s="794"/>
      <c r="B671" s="794"/>
      <c r="C671" s="794"/>
      <c r="D671" s="1928" t="s">
        <v>961</v>
      </c>
      <c r="E671" s="1928"/>
      <c r="F671" s="1928"/>
      <c r="G671" s="818"/>
      <c r="H671" s="841"/>
      <c r="I671" s="1840"/>
      <c r="J671" s="841"/>
      <c r="K671" s="841"/>
    </row>
    <row r="672" spans="1:11">
      <c r="A672" s="794"/>
      <c r="B672" s="794"/>
      <c r="C672" s="794"/>
      <c r="D672" s="671"/>
      <c r="E672" s="1974" t="s">
        <v>1212</v>
      </c>
      <c r="F672" s="1974"/>
      <c r="G672" s="818"/>
      <c r="H672" s="841"/>
      <c r="I672" s="1840"/>
      <c r="J672" s="841"/>
      <c r="K672" s="841"/>
    </row>
    <row r="673" spans="1:11">
      <c r="A673" s="794"/>
      <c r="B673" s="794"/>
      <c r="C673" s="794"/>
      <c r="D673" s="671"/>
      <c r="E673" s="1974"/>
      <c r="F673" s="1974"/>
      <c r="G673" s="818"/>
      <c r="H673" s="841"/>
      <c r="I673" s="1840"/>
      <c r="J673" s="841"/>
      <c r="K673" s="841"/>
    </row>
    <row r="674" spans="1:11">
      <c r="A674" s="794"/>
      <c r="B674" s="794"/>
      <c r="C674" s="794"/>
      <c r="D674" s="842"/>
      <c r="E674" s="799"/>
      <c r="G674" s="818"/>
      <c r="H674" s="841"/>
      <c r="I674" s="1840"/>
      <c r="J674" s="841"/>
      <c r="K674" s="841"/>
    </row>
    <row r="675" spans="1:11">
      <c r="A675" s="796"/>
      <c r="B675" s="797" t="s">
        <v>2658</v>
      </c>
      <c r="C675" s="794"/>
      <c r="D675" s="1923" t="s">
        <v>1404</v>
      </c>
      <c r="E675" s="1923"/>
      <c r="F675" s="1923"/>
      <c r="G675" s="818"/>
      <c r="H675" s="841"/>
      <c r="I675" s="1840" t="s">
        <v>2501</v>
      </c>
      <c r="J675" s="841"/>
      <c r="K675" s="841"/>
    </row>
    <row r="676" spans="1:11">
      <c r="A676" s="815"/>
      <c r="B676" s="815"/>
      <c r="C676" s="794"/>
      <c r="D676" s="1923"/>
      <c r="E676" s="1923"/>
      <c r="F676" s="1923"/>
      <c r="G676" s="818"/>
      <c r="H676" s="841"/>
      <c r="I676" s="1840"/>
      <c r="J676" s="841"/>
      <c r="K676" s="841"/>
    </row>
    <row r="677" spans="1:11">
      <c r="A677" s="794"/>
      <c r="B677" s="794"/>
      <c r="C677" s="794"/>
      <c r="D677" s="1923"/>
      <c r="E677" s="1923"/>
      <c r="F677" s="1923"/>
      <c r="G677" s="818"/>
      <c r="H677" s="841"/>
      <c r="I677" s="1840"/>
      <c r="J677" s="841"/>
      <c r="K677" s="841"/>
    </row>
    <row r="678" spans="1:11">
      <c r="A678" s="794"/>
      <c r="B678" s="794"/>
      <c r="C678" s="794"/>
      <c r="G678" s="818"/>
      <c r="H678" s="841"/>
      <c r="I678" s="1840" t="s">
        <v>2478</v>
      </c>
      <c r="J678" s="841"/>
      <c r="K678" s="841"/>
    </row>
    <row r="679" spans="1:11">
      <c r="A679" s="796"/>
      <c r="B679" s="797" t="s">
        <v>2658</v>
      </c>
      <c r="C679" s="794"/>
      <c r="D679" s="1928" t="s">
        <v>990</v>
      </c>
      <c r="E679" s="1928"/>
      <c r="F679" s="1928"/>
      <c r="G679" s="818"/>
      <c r="H679" s="841"/>
      <c r="I679" s="1840"/>
      <c r="J679" s="841"/>
      <c r="K679" s="841"/>
    </row>
    <row r="680" spans="1:11">
      <c r="A680" s="796"/>
      <c r="B680" s="796"/>
      <c r="C680" s="794"/>
      <c r="D680" s="1928" t="s">
        <v>961</v>
      </c>
      <c r="E680" s="1928"/>
      <c r="F680" s="1928"/>
      <c r="G680" s="818"/>
      <c r="H680" s="841"/>
      <c r="I680" s="1840"/>
      <c r="J680" s="841"/>
      <c r="K680" s="841"/>
    </row>
    <row r="681" spans="1:11">
      <c r="A681" s="794"/>
      <c r="B681" s="794"/>
      <c r="C681" s="794"/>
      <c r="D681" s="671"/>
      <c r="E681" s="1971" t="s">
        <v>1214</v>
      </c>
      <c r="F681" s="1971"/>
      <c r="G681" s="818"/>
      <c r="H681" s="841"/>
      <c r="I681" s="1840"/>
      <c r="J681" s="841"/>
      <c r="K681" s="841"/>
    </row>
    <row r="682" spans="1:11">
      <c r="A682" s="794"/>
      <c r="B682" s="794"/>
      <c r="C682" s="794"/>
      <c r="D682" s="793"/>
      <c r="G682" s="818"/>
      <c r="H682" s="841"/>
      <c r="I682" s="1840"/>
      <c r="J682" s="841"/>
      <c r="K682" s="841"/>
    </row>
    <row r="683" spans="1:11">
      <c r="A683" s="796"/>
      <c r="B683" s="797" t="s">
        <v>2658</v>
      </c>
      <c r="C683" s="794"/>
      <c r="D683" s="1968" t="s">
        <v>1224</v>
      </c>
      <c r="E683" s="1968"/>
      <c r="F683" s="1968"/>
      <c r="G683" s="818"/>
      <c r="H683" s="841"/>
      <c r="I683" s="1840" t="s">
        <v>2450</v>
      </c>
      <c r="J683" s="841"/>
      <c r="K683" s="841"/>
    </row>
    <row r="684" spans="1:11">
      <c r="A684" s="794"/>
      <c r="B684" s="794"/>
      <c r="C684" s="794"/>
      <c r="D684" s="1968"/>
      <c r="E684" s="1968"/>
      <c r="F684" s="1968"/>
      <c r="G684" s="818"/>
      <c r="H684" s="841"/>
      <c r="I684" s="1840"/>
      <c r="J684" s="841"/>
      <c r="K684" s="841"/>
    </row>
    <row r="685" spans="1:11">
      <c r="A685" s="794"/>
      <c r="B685" s="794"/>
      <c r="C685" s="794"/>
      <c r="D685" s="1968"/>
      <c r="E685" s="1968"/>
      <c r="F685" s="1968"/>
      <c r="G685" s="818"/>
      <c r="H685" s="841"/>
      <c r="I685" s="1840"/>
      <c r="J685" s="841"/>
      <c r="K685" s="841"/>
    </row>
    <row r="686" spans="1:11">
      <c r="A686" s="794"/>
      <c r="B686" s="794"/>
      <c r="C686" s="794"/>
      <c r="D686" s="1968"/>
      <c r="E686" s="1968"/>
      <c r="F686" s="1968"/>
      <c r="G686" s="818"/>
      <c r="H686" s="841"/>
      <c r="I686" s="1840"/>
      <c r="J686" s="841"/>
      <c r="K686" s="841"/>
    </row>
    <row r="687" spans="1:11">
      <c r="A687" s="794"/>
      <c r="B687" s="794"/>
      <c r="C687" s="794"/>
      <c r="D687" s="1968"/>
      <c r="E687" s="1968"/>
      <c r="F687" s="1968"/>
      <c r="G687" s="818"/>
      <c r="H687" s="841"/>
      <c r="I687" s="1840"/>
      <c r="J687" s="841"/>
      <c r="K687" s="841"/>
    </row>
    <row r="688" spans="1:11" s="790" customFormat="1">
      <c r="A688" s="833"/>
      <c r="B688" s="833"/>
      <c r="C688" s="833"/>
      <c r="D688" s="1968"/>
      <c r="E688" s="1968"/>
      <c r="F688" s="1968"/>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2658</v>
      </c>
      <c r="C690" s="833"/>
      <c r="D690" s="1968" t="s">
        <v>1406</v>
      </c>
      <c r="E690" s="1968"/>
      <c r="F690" s="1968"/>
      <c r="G690" s="843"/>
      <c r="H690" s="844"/>
      <c r="I690" s="1841" t="s">
        <v>2450</v>
      </c>
      <c r="J690" s="844"/>
      <c r="K690" s="844"/>
    </row>
    <row r="691" spans="1:11" s="790" customFormat="1">
      <c r="A691" s="833"/>
      <c r="B691" s="833"/>
      <c r="C691" s="833"/>
      <c r="D691" s="1968"/>
      <c r="E691" s="1968"/>
      <c r="F691" s="1968"/>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2658</v>
      </c>
      <c r="C693" s="794"/>
      <c r="D693" s="1968" t="s">
        <v>1215</v>
      </c>
      <c r="E693" s="1968"/>
      <c r="F693" s="1968"/>
      <c r="G693" s="818"/>
      <c r="H693" s="841"/>
      <c r="I693" s="1840" t="s">
        <v>2450</v>
      </c>
      <c r="J693" s="841"/>
      <c r="K693" s="841"/>
    </row>
    <row r="694" spans="1:11">
      <c r="A694" s="794"/>
      <c r="B694" s="794"/>
      <c r="C694" s="794"/>
      <c r="D694" s="1968"/>
      <c r="E694" s="1968"/>
      <c r="F694" s="1968"/>
      <c r="G694" s="818"/>
      <c r="H694" s="841"/>
      <c r="I694" s="1840"/>
      <c r="J694" s="841"/>
      <c r="K694" s="841"/>
    </row>
    <row r="695" spans="1:11">
      <c r="A695" s="794"/>
      <c r="B695" s="794"/>
      <c r="C695" s="794"/>
      <c r="D695" s="1968"/>
      <c r="E695" s="1968"/>
      <c r="F695" s="1968"/>
      <c r="G695" s="818"/>
      <c r="H695" s="841"/>
      <c r="I695" s="1840"/>
      <c r="J695" s="841"/>
      <c r="K695" s="841"/>
    </row>
    <row r="696" spans="1:11" ht="15" customHeight="1">
      <c r="A696" s="794"/>
      <c r="B696" s="794"/>
      <c r="C696" s="794"/>
      <c r="D696" s="1968"/>
      <c r="E696" s="1968"/>
      <c r="F696" s="1968"/>
      <c r="G696" s="818"/>
      <c r="H696" s="841"/>
      <c r="I696" s="1840"/>
      <c r="J696" s="841"/>
      <c r="K696" s="841"/>
    </row>
    <row r="697" spans="1:11" ht="15" customHeight="1">
      <c r="A697" s="794"/>
      <c r="B697" s="794"/>
      <c r="C697" s="794"/>
      <c r="D697" s="1968"/>
      <c r="E697" s="1968"/>
      <c r="F697" s="1968"/>
      <c r="G697" s="818"/>
      <c r="H697" s="841"/>
      <c r="I697" s="1840"/>
      <c r="J697" s="841"/>
      <c r="K697" s="841"/>
    </row>
    <row r="698" spans="1:11">
      <c r="A698" s="794"/>
      <c r="B698" s="794"/>
      <c r="C698" s="794"/>
      <c r="D698" s="1968"/>
      <c r="E698" s="1968"/>
      <c r="F698" s="1968"/>
      <c r="G698" s="818"/>
      <c r="H698" s="841"/>
      <c r="I698" s="1840"/>
      <c r="J698" s="841"/>
      <c r="K698" s="841"/>
    </row>
    <row r="699" spans="1:11">
      <c r="A699" s="794"/>
      <c r="B699" s="794"/>
      <c r="C699" s="794"/>
      <c r="D699" s="1968"/>
      <c r="E699" s="1968"/>
      <c r="F699" s="1968"/>
      <c r="G699" s="818"/>
      <c r="H699" s="841"/>
      <c r="I699" s="1840"/>
      <c r="J699" s="841"/>
      <c r="K699" s="841"/>
    </row>
    <row r="700" spans="1:11">
      <c r="A700" s="794"/>
      <c r="B700" s="794"/>
      <c r="C700" s="794"/>
      <c r="D700" s="1968"/>
      <c r="E700" s="1968"/>
      <c r="F700" s="1968"/>
      <c r="G700" s="818"/>
      <c r="H700" s="841"/>
      <c r="I700" s="1840"/>
      <c r="J700" s="841"/>
      <c r="K700" s="841"/>
    </row>
    <row r="701" spans="1:11" ht="15" customHeight="1">
      <c r="A701" s="794"/>
      <c r="B701" s="794"/>
      <c r="C701" s="794"/>
      <c r="D701" s="1968"/>
      <c r="E701" s="1968"/>
      <c r="F701" s="1968"/>
      <c r="G701" s="818"/>
      <c r="H701" s="841"/>
      <c r="I701" s="1840"/>
      <c r="J701" s="841"/>
      <c r="K701" s="841"/>
    </row>
    <row r="702" spans="1:11">
      <c r="A702" s="794"/>
      <c r="B702" s="794"/>
      <c r="C702" s="794"/>
      <c r="D702" s="1968"/>
      <c r="E702" s="1968"/>
      <c r="F702" s="1968"/>
      <c r="G702" s="818"/>
      <c r="H702" s="841"/>
      <c r="I702" s="1840"/>
      <c r="J702" s="841"/>
      <c r="K702" s="841"/>
    </row>
    <row r="703" spans="1:11">
      <c r="A703" s="794"/>
      <c r="B703" s="794"/>
      <c r="C703" s="794"/>
      <c r="D703" s="1968"/>
      <c r="E703" s="1968"/>
      <c r="F703" s="1968"/>
      <c r="G703" s="818"/>
      <c r="H703" s="841"/>
      <c r="I703" s="1840"/>
      <c r="J703" s="841"/>
      <c r="K703" s="841"/>
    </row>
    <row r="704" spans="1:11">
      <c r="A704" s="794"/>
      <c r="B704" s="794"/>
      <c r="C704" s="794"/>
      <c r="D704" s="1968"/>
      <c r="E704" s="1968"/>
      <c r="F704" s="1968"/>
      <c r="G704" s="818"/>
      <c r="H704" s="841"/>
      <c r="I704" s="1840"/>
      <c r="J704" s="841"/>
      <c r="K704" s="841"/>
    </row>
    <row r="705" spans="1:11">
      <c r="A705" s="794"/>
      <c r="B705" s="794"/>
      <c r="C705" s="794"/>
      <c r="D705" s="1968"/>
      <c r="E705" s="1968"/>
      <c r="F705" s="1968"/>
      <c r="G705" s="818"/>
      <c r="H705" s="841"/>
      <c r="I705" s="1840"/>
      <c r="J705" s="841"/>
      <c r="K705" s="841"/>
    </row>
    <row r="706" spans="1:11">
      <c r="A706" s="794"/>
      <c r="B706" s="797" t="s">
        <v>2659</v>
      </c>
      <c r="C706" s="794"/>
      <c r="D706" s="1968" t="s">
        <v>1222</v>
      </c>
      <c r="E706" s="1968"/>
      <c r="F706" s="1968"/>
      <c r="G706" s="818"/>
      <c r="H706" s="841"/>
      <c r="I706" s="1840" t="s">
        <v>2502</v>
      </c>
      <c r="J706" s="841"/>
      <c r="K706" s="841"/>
    </row>
    <row r="707" spans="1:11">
      <c r="A707" s="794"/>
      <c r="B707" s="794"/>
      <c r="C707" s="794"/>
      <c r="D707" s="1968"/>
      <c r="E707" s="1968"/>
      <c r="F707" s="1968"/>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2659</v>
      </c>
      <c r="C709" s="794"/>
      <c r="D709" s="1968" t="s">
        <v>1216</v>
      </c>
      <c r="E709" s="1968"/>
      <c r="F709" s="1968"/>
      <c r="G709" s="818"/>
      <c r="H709" s="841"/>
      <c r="I709" s="1840" t="s">
        <v>2502</v>
      </c>
      <c r="J709" s="841"/>
      <c r="K709" s="841"/>
    </row>
    <row r="710" spans="1:11">
      <c r="A710" s="794"/>
      <c r="B710" s="794"/>
      <c r="C710" s="794"/>
      <c r="D710" s="1968"/>
      <c r="E710" s="1968"/>
      <c r="F710" s="1968"/>
      <c r="G710" s="818"/>
      <c r="H710" s="841"/>
      <c r="I710" s="1840"/>
      <c r="J710" s="841"/>
      <c r="K710" s="841"/>
    </row>
    <row r="711" spans="1:11">
      <c r="A711" s="794"/>
      <c r="B711" s="794"/>
      <c r="C711" s="794"/>
      <c r="D711" s="1968"/>
      <c r="E711" s="1968"/>
      <c r="F711" s="1968"/>
      <c r="G711" s="818"/>
      <c r="H711" s="841"/>
      <c r="I711" s="1840"/>
      <c r="J711" s="841"/>
      <c r="K711" s="841"/>
    </row>
    <row r="712" spans="1:11">
      <c r="A712" s="794"/>
      <c r="B712" s="794"/>
      <c r="C712" s="794"/>
      <c r="D712" s="801"/>
      <c r="G712" s="818"/>
      <c r="H712" s="841"/>
      <c r="I712" s="1840"/>
      <c r="J712" s="841"/>
      <c r="K712" s="841"/>
    </row>
    <row r="713" spans="1:11">
      <c r="A713" s="794"/>
      <c r="B713" s="1774" t="s">
        <v>2659</v>
      </c>
      <c r="C713" s="794"/>
      <c r="D713" s="1968" t="s">
        <v>1217</v>
      </c>
      <c r="E713" s="1968"/>
      <c r="F713" s="1968"/>
      <c r="G713" s="818"/>
      <c r="H713" s="841"/>
      <c r="I713" s="1840" t="s">
        <v>2502</v>
      </c>
      <c r="J713" s="841"/>
      <c r="K713" s="841"/>
    </row>
    <row r="714" spans="1:11">
      <c r="A714" s="794"/>
      <c r="B714" s="794"/>
      <c r="C714" s="794"/>
      <c r="D714" s="1968"/>
      <c r="E714" s="1968"/>
      <c r="F714" s="1968"/>
      <c r="G714" s="818"/>
      <c r="H714" s="841"/>
      <c r="I714" s="1840"/>
      <c r="J714" s="841"/>
      <c r="K714" s="841"/>
    </row>
    <row r="715" spans="1:11">
      <c r="A715" s="794"/>
      <c r="B715" s="794"/>
      <c r="C715" s="794"/>
      <c r="D715" s="1968"/>
      <c r="E715" s="1968"/>
      <c r="F715" s="1968"/>
      <c r="G715" s="818"/>
      <c r="H715" s="841"/>
      <c r="I715" s="1840"/>
      <c r="J715" s="841"/>
      <c r="K715" s="841"/>
    </row>
    <row r="716" spans="1:11">
      <c r="A716" s="794"/>
      <c r="B716" s="794"/>
      <c r="C716" s="794"/>
      <c r="D716" s="789"/>
      <c r="G716" s="818"/>
      <c r="H716" s="841"/>
      <c r="I716" s="1840"/>
      <c r="J716" s="841"/>
      <c r="K716" s="841"/>
    </row>
    <row r="717" spans="1:11">
      <c r="A717" s="796"/>
      <c r="B717" s="1774" t="s">
        <v>2659</v>
      </c>
      <c r="C717" s="794"/>
      <c r="D717" s="1923" t="s">
        <v>1218</v>
      </c>
      <c r="E717" s="1923"/>
      <c r="F717" s="1923"/>
      <c r="G717" s="818"/>
      <c r="H717" s="841"/>
      <c r="I717" s="1840" t="s">
        <v>2451</v>
      </c>
      <c r="J717" s="841"/>
      <c r="K717" s="841"/>
    </row>
    <row r="718" spans="1:11">
      <c r="A718" s="794"/>
      <c r="B718" s="794"/>
      <c r="C718" s="794"/>
      <c r="D718" s="1923"/>
      <c r="E718" s="1923"/>
      <c r="F718" s="1923"/>
      <c r="G718" s="818"/>
      <c r="H718" s="841"/>
      <c r="I718" s="1840"/>
      <c r="J718" s="841"/>
      <c r="K718" s="841"/>
    </row>
    <row r="719" spans="1:11">
      <c r="A719" s="794"/>
      <c r="B719" s="794"/>
      <c r="C719" s="794"/>
      <c r="D719" s="1923"/>
      <c r="E719" s="1923"/>
      <c r="F719" s="1923"/>
      <c r="G719" s="818"/>
      <c r="H719" s="841"/>
      <c r="I719" s="1840"/>
      <c r="J719" s="841"/>
      <c r="K719" s="841"/>
    </row>
    <row r="720" spans="1:11">
      <c r="A720" s="794"/>
      <c r="B720" s="794"/>
      <c r="C720" s="794"/>
      <c r="D720" s="1923"/>
      <c r="E720" s="1923"/>
      <c r="F720" s="1923"/>
      <c r="G720" s="818"/>
      <c r="H720" s="841"/>
      <c r="I720" s="1840"/>
      <c r="J720" s="841"/>
      <c r="K720" s="841"/>
    </row>
    <row r="721" spans="1:11">
      <c r="A721" s="794"/>
      <c r="B721" s="794"/>
      <c r="C721" s="794"/>
      <c r="D721" s="821"/>
      <c r="G721" s="818"/>
      <c r="H721" s="841"/>
      <c r="I721" s="1840"/>
      <c r="J721" s="841"/>
      <c r="K721" s="841"/>
    </row>
    <row r="722" spans="1:11">
      <c r="A722" s="796"/>
      <c r="B722" s="1774" t="s">
        <v>2659</v>
      </c>
      <c r="C722" s="794"/>
      <c r="D722" s="1968" t="s">
        <v>1351</v>
      </c>
      <c r="E722" s="1968"/>
      <c r="F722" s="1968"/>
      <c r="G722" s="818"/>
      <c r="H722" s="841"/>
      <c r="I722" s="1840" t="s">
        <v>2467</v>
      </c>
      <c r="J722" s="841"/>
      <c r="K722" s="841"/>
    </row>
    <row r="723" spans="1:11">
      <c r="A723" s="794"/>
      <c r="B723" s="794"/>
      <c r="C723" s="794"/>
      <c r="D723" s="1968"/>
      <c r="E723" s="1968"/>
      <c r="F723" s="1968"/>
      <c r="G723" s="818"/>
      <c r="H723" s="841"/>
      <c r="I723" s="1840"/>
      <c r="J723" s="841"/>
      <c r="K723" s="841"/>
    </row>
    <row r="724" spans="1:11">
      <c r="A724" s="794"/>
      <c r="B724" s="794"/>
      <c r="C724" s="794"/>
      <c r="D724" s="1968"/>
      <c r="E724" s="1968"/>
      <c r="F724" s="1968"/>
      <c r="G724" s="818"/>
      <c r="H724" s="841"/>
      <c r="I724" s="1840"/>
      <c r="J724" s="841"/>
      <c r="K724" s="841"/>
    </row>
    <row r="725" spans="1:11">
      <c r="A725" s="794"/>
      <c r="B725" s="794"/>
      <c r="C725" s="794"/>
      <c r="D725" s="1968"/>
      <c r="E725" s="1968"/>
      <c r="F725" s="1968"/>
      <c r="G725" s="818"/>
      <c r="H725" s="841"/>
      <c r="I725" s="1840"/>
      <c r="J725" s="841"/>
      <c r="K725" s="841"/>
    </row>
    <row r="726" spans="1:11">
      <c r="A726" s="794"/>
      <c r="B726" s="794"/>
      <c r="C726" s="794"/>
      <c r="D726" s="1968"/>
      <c r="E726" s="1968"/>
      <c r="F726" s="1968"/>
      <c r="G726" s="818"/>
      <c r="H726" s="841"/>
      <c r="I726" s="1840"/>
      <c r="J726" s="841"/>
      <c r="K726" s="841"/>
    </row>
    <row r="727" spans="1:11">
      <c r="A727" s="794"/>
      <c r="B727" s="794"/>
      <c r="C727" s="794"/>
      <c r="D727" s="1968"/>
      <c r="E727" s="1968"/>
      <c r="F727" s="1968"/>
      <c r="G727" s="818"/>
      <c r="H727" s="841"/>
      <c r="I727" s="1840"/>
      <c r="J727" s="841"/>
      <c r="K727" s="841"/>
    </row>
    <row r="728" spans="1:11">
      <c r="A728" s="794"/>
      <c r="B728" s="794"/>
      <c r="C728" s="794"/>
      <c r="D728" s="1968"/>
      <c r="E728" s="1968"/>
      <c r="F728" s="1968"/>
      <c r="G728" s="818"/>
      <c r="H728" s="841"/>
      <c r="I728" s="1840"/>
      <c r="J728" s="841"/>
      <c r="K728" s="841"/>
    </row>
    <row r="729" spans="1:11">
      <c r="A729" s="794"/>
      <c r="B729" s="794"/>
      <c r="C729" s="794"/>
      <c r="D729" s="1896" t="s">
        <v>1219</v>
      </c>
      <c r="E729" s="1896"/>
      <c r="F729" s="1896"/>
      <c r="G729" s="818"/>
      <c r="H729" s="841"/>
      <c r="I729" s="1840"/>
      <c r="J729" s="841"/>
      <c r="K729" s="841"/>
    </row>
    <row r="730" spans="1:11">
      <c r="A730" s="794"/>
      <c r="B730" s="794"/>
      <c r="C730" s="794"/>
      <c r="D730" s="781"/>
      <c r="G730" s="818"/>
      <c r="H730" s="841"/>
      <c r="I730" s="1840"/>
      <c r="J730" s="841"/>
      <c r="K730" s="841"/>
    </row>
    <row r="731" spans="1:11">
      <c r="A731" s="1889" t="s">
        <v>1176</v>
      </c>
      <c r="B731" s="1889"/>
      <c r="C731" s="1889"/>
      <c r="D731" s="1889"/>
      <c r="E731" s="1889"/>
      <c r="F731" s="1889"/>
      <c r="G731" s="1889"/>
      <c r="H731" s="1854"/>
      <c r="I731" s="1855"/>
      <c r="J731" s="841"/>
      <c r="K731" s="841"/>
    </row>
    <row r="732" spans="1:11">
      <c r="A732" s="794"/>
      <c r="B732" s="794"/>
      <c r="C732" s="794"/>
      <c r="D732" s="821"/>
      <c r="G732" s="846"/>
      <c r="H732" s="841"/>
      <c r="I732" s="1840"/>
      <c r="J732" s="841"/>
      <c r="K732" s="841"/>
    </row>
    <row r="733" spans="1:11" ht="13.75" customHeight="1">
      <c r="C733" s="794"/>
      <c r="D733" s="1961" t="s">
        <v>1192</v>
      </c>
      <c r="E733" s="1961"/>
      <c r="F733" s="1961"/>
      <c r="G733" s="846"/>
      <c r="H733" s="841"/>
      <c r="I733" s="1840"/>
      <c r="J733" s="841"/>
      <c r="K733" s="841"/>
    </row>
    <row r="734" spans="1:11">
      <c r="A734" s="794"/>
      <c r="B734" s="794"/>
      <c r="C734" s="794"/>
      <c r="D734" s="1902" t="s">
        <v>1193</v>
      </c>
      <c r="E734" s="1902"/>
      <c r="F734" s="1902"/>
      <c r="G734" s="846"/>
      <c r="H734" s="841"/>
      <c r="I734" s="1840"/>
      <c r="J734" s="841"/>
      <c r="K734" s="841"/>
    </row>
    <row r="735" spans="1:11">
      <c r="A735" s="794"/>
      <c r="B735" s="794"/>
      <c r="C735" s="794"/>
      <c r="G735" s="846"/>
      <c r="H735" s="841"/>
      <c r="I735" s="1840"/>
      <c r="J735" s="841"/>
      <c r="K735" s="841"/>
    </row>
    <row r="736" spans="1:11" s="790" customFormat="1">
      <c r="A736" s="796"/>
      <c r="B736" s="797" t="s">
        <v>2658</v>
      </c>
      <c r="C736" s="787"/>
      <c r="D736" s="1923" t="s">
        <v>1194</v>
      </c>
      <c r="E736" s="1923"/>
      <c r="F736" s="1923"/>
      <c r="G736" s="846"/>
      <c r="H736" s="844"/>
      <c r="I736" s="1841" t="s">
        <v>2452</v>
      </c>
      <c r="J736" s="844"/>
      <c r="K736" s="844"/>
    </row>
    <row r="737" spans="1:11" s="790" customFormat="1" ht="10.5" customHeight="1">
      <c r="A737" s="787"/>
      <c r="B737" s="787"/>
      <c r="C737" s="787"/>
      <c r="D737" s="1923"/>
      <c r="E737" s="1923"/>
      <c r="F737" s="1923"/>
      <c r="G737" s="846"/>
      <c r="H737" s="844"/>
      <c r="I737" s="1841"/>
      <c r="J737" s="844"/>
      <c r="K737" s="844"/>
    </row>
    <row r="738" spans="1:11" s="790" customFormat="1">
      <c r="A738" s="787"/>
      <c r="B738" s="787"/>
      <c r="C738" s="787"/>
      <c r="D738" s="1923"/>
      <c r="E738" s="1923"/>
      <c r="F738" s="1923"/>
      <c r="G738" s="846"/>
      <c r="H738" s="844"/>
      <c r="I738" s="1841"/>
      <c r="J738" s="844"/>
      <c r="K738" s="844"/>
    </row>
    <row r="739" spans="1:11">
      <c r="D739" s="1923"/>
      <c r="E739" s="1923"/>
      <c r="F739" s="1923"/>
      <c r="G739" s="846"/>
      <c r="H739" s="841"/>
      <c r="I739" s="1840"/>
      <c r="J739" s="841"/>
      <c r="K739" s="841"/>
    </row>
    <row r="740" spans="1:11">
      <c r="A740" s="800"/>
      <c r="B740" s="800"/>
      <c r="C740" s="800"/>
      <c r="D740" s="1923"/>
      <c r="E740" s="1923"/>
      <c r="F740" s="1923"/>
      <c r="G740" s="847"/>
      <c r="H740" s="841"/>
      <c r="I740" s="1840"/>
      <c r="J740" s="841"/>
      <c r="K740" s="841"/>
    </row>
    <row r="741" spans="1:11" ht="15.75" customHeight="1">
      <c r="A741" s="800"/>
      <c r="B741" s="800"/>
      <c r="C741" s="800"/>
      <c r="D741" s="1923"/>
      <c r="E741" s="1923"/>
      <c r="F741" s="1923"/>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2658</v>
      </c>
      <c r="C743" s="850"/>
      <c r="D743" s="1880" t="s">
        <v>1457</v>
      </c>
      <c r="E743" s="1880"/>
      <c r="F743" s="1880"/>
      <c r="G743" s="851"/>
      <c r="I743" s="1842" t="s">
        <v>2452</v>
      </c>
    </row>
    <row r="744" spans="1:11" s="852" customFormat="1">
      <c r="A744" s="850"/>
      <c r="B744" s="850"/>
      <c r="C744" s="850"/>
      <c r="D744" s="1880"/>
      <c r="E744" s="1880"/>
      <c r="F744" s="1880"/>
      <c r="G744" s="851"/>
      <c r="I744" s="1842"/>
    </row>
    <row r="745" spans="1:11" s="852" customFormat="1">
      <c r="A745" s="850"/>
      <c r="B745" s="850"/>
      <c r="C745" s="850"/>
      <c r="D745" s="1880"/>
      <c r="E745" s="1880"/>
      <c r="F745" s="1880"/>
      <c r="G745" s="851"/>
      <c r="I745" s="1842"/>
    </row>
    <row r="746" spans="1:11" s="852" customFormat="1">
      <c r="A746" s="850"/>
      <c r="B746" s="850"/>
      <c r="C746" s="850"/>
      <c r="D746" s="1880"/>
      <c r="E746" s="1880"/>
      <c r="F746" s="1880"/>
      <c r="G746" s="851"/>
      <c r="I746" s="1842"/>
    </row>
    <row r="747" spans="1:11" s="852" customFormat="1">
      <c r="A747" s="850"/>
      <c r="B747" s="850"/>
      <c r="C747" s="850"/>
      <c r="D747" s="836"/>
      <c r="E747" s="851"/>
      <c r="F747" s="851"/>
      <c r="G747" s="851"/>
      <c r="I747" s="1842"/>
    </row>
    <row r="748" spans="1:11" s="852" customFormat="1">
      <c r="A748" s="796"/>
      <c r="B748" s="797" t="s">
        <v>2659</v>
      </c>
      <c r="C748" s="850"/>
      <c r="D748" s="1975" t="s">
        <v>1458</v>
      </c>
      <c r="E748" s="1975"/>
      <c r="F748" s="1975"/>
      <c r="G748" s="851"/>
      <c r="I748" s="1842" t="s">
        <v>2453</v>
      </c>
    </row>
    <row r="749" spans="1:11" s="852" customFormat="1">
      <c r="A749" s="850"/>
      <c r="B749" s="850"/>
      <c r="C749" s="850"/>
      <c r="D749" s="1975"/>
      <c r="E749" s="1975"/>
      <c r="F749" s="1975"/>
      <c r="G749" s="851"/>
      <c r="I749" s="1842"/>
    </row>
    <row r="750" spans="1:11" s="852" customFormat="1">
      <c r="A750" s="850"/>
      <c r="B750" s="850"/>
      <c r="C750" s="850"/>
      <c r="D750" s="1975"/>
      <c r="E750" s="1975"/>
      <c r="F750" s="1975"/>
      <c r="G750" s="851"/>
      <c r="I750" s="1842"/>
    </row>
    <row r="751" spans="1:11">
      <c r="A751" s="800"/>
      <c r="B751" s="800"/>
      <c r="C751" s="800"/>
      <c r="D751" s="836"/>
      <c r="E751" s="848"/>
      <c r="F751" s="848"/>
      <c r="G751" s="847"/>
      <c r="H751" s="841"/>
      <c r="I751" s="1840"/>
      <c r="J751" s="841"/>
      <c r="K751" s="841"/>
    </row>
    <row r="752" spans="1:11">
      <c r="A752" s="796"/>
      <c r="B752" s="797" t="s">
        <v>2659</v>
      </c>
      <c r="C752" s="800"/>
      <c r="D752" s="1880" t="s">
        <v>1401</v>
      </c>
      <c r="E752" s="1880"/>
      <c r="F752" s="1880"/>
      <c r="G752" s="847"/>
      <c r="H752" s="841"/>
      <c r="I752" s="1840" t="s">
        <v>2452</v>
      </c>
      <c r="J752" s="841"/>
      <c r="K752" s="841"/>
    </row>
    <row r="753" spans="1:11">
      <c r="A753" s="800"/>
      <c r="B753" s="800"/>
      <c r="C753" s="800"/>
      <c r="D753" s="1880"/>
      <c r="E753" s="1880"/>
      <c r="F753" s="1880"/>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2659</v>
      </c>
      <c r="C755" s="800"/>
      <c r="D755" s="1880" t="s">
        <v>1423</v>
      </c>
      <c r="E755" s="1880"/>
      <c r="F755" s="1880"/>
      <c r="G755" s="847"/>
      <c r="H755" s="841"/>
      <c r="I755" s="1840" t="s">
        <v>2452</v>
      </c>
      <c r="J755" s="841"/>
      <c r="K755" s="841"/>
    </row>
    <row r="756" spans="1:11">
      <c r="A756" s="800"/>
      <c r="B756" s="800"/>
      <c r="C756" s="800"/>
      <c r="D756" s="1880"/>
      <c r="E756" s="1880"/>
      <c r="F756" s="1880"/>
      <c r="G756" s="847"/>
      <c r="H756" s="841"/>
      <c r="I756" s="1840"/>
      <c r="J756" s="841"/>
      <c r="K756" s="841"/>
    </row>
    <row r="757" spans="1:11">
      <c r="A757" s="800"/>
      <c r="B757" s="800"/>
      <c r="C757" s="800"/>
      <c r="D757" s="1880"/>
      <c r="E757" s="1880"/>
      <c r="F757" s="1880"/>
      <c r="G757" s="847"/>
      <c r="H757" s="841"/>
      <c r="I757" s="1840"/>
      <c r="J757" s="841"/>
      <c r="K757" s="841"/>
    </row>
    <row r="758" spans="1:11">
      <c r="A758" s="800"/>
      <c r="B758" s="800"/>
      <c r="C758" s="800"/>
      <c r="D758" s="780"/>
      <c r="E758" s="780"/>
      <c r="F758" s="780"/>
      <c r="G758" s="847"/>
      <c r="H758" s="841"/>
      <c r="I758" s="1840"/>
      <c r="J758" s="841"/>
      <c r="K758" s="841"/>
    </row>
    <row r="759" spans="1:11">
      <c r="A759" s="1972" t="s">
        <v>2321</v>
      </c>
      <c r="B759" s="1972"/>
      <c r="C759" s="1972"/>
      <c r="D759" s="1972"/>
      <c r="E759" s="1972"/>
      <c r="F759" s="1972"/>
      <c r="G759" s="1972"/>
      <c r="H759" s="1852"/>
      <c r="I759" s="1853"/>
    </row>
    <row r="760" spans="1:11">
      <c r="A760" s="93"/>
      <c r="B760" s="93"/>
      <c r="C760" s="1731"/>
      <c r="D760" s="155"/>
      <c r="E760" s="155"/>
      <c r="F760" s="155"/>
      <c r="G760" s="685"/>
    </row>
    <row r="761" spans="1:11">
      <c r="A761" s="93"/>
      <c r="B761" s="93"/>
      <c r="C761" s="1731"/>
      <c r="D761" s="1973" t="s">
        <v>2380</v>
      </c>
      <c r="E761" s="1973"/>
      <c r="F761" s="1973"/>
      <c r="G761" s="685"/>
    </row>
    <row r="762" spans="1:11">
      <c r="A762" s="93"/>
      <c r="B762" s="93"/>
      <c r="C762" s="1731"/>
      <c r="D762" s="1987" t="s">
        <v>2266</v>
      </c>
      <c r="E762" s="1987"/>
      <c r="F762" s="1987"/>
      <c r="G762" s="685"/>
    </row>
    <row r="763" spans="1:11">
      <c r="A763" s="93"/>
      <c r="B763" s="93"/>
      <c r="C763" s="1731"/>
      <c r="D763" s="732"/>
      <c r="E763" s="732"/>
      <c r="F763" s="732"/>
      <c r="G763" s="685"/>
    </row>
    <row r="764" spans="1:11">
      <c r="A764" s="93"/>
      <c r="B764" s="797" t="s">
        <v>2658</v>
      </c>
      <c r="C764" s="1731"/>
      <c r="D764" s="1907" t="s">
        <v>2267</v>
      </c>
      <c r="E764" s="1907"/>
      <c r="F764" s="1907"/>
      <c r="G764" s="685"/>
      <c r="I764" s="1840" t="s">
        <v>2504</v>
      </c>
    </row>
    <row r="765" spans="1:11">
      <c r="A765" s="93"/>
      <c r="B765" s="93"/>
      <c r="C765" s="1731"/>
      <c r="D765" s="1907"/>
      <c r="E765" s="1907"/>
      <c r="F765" s="1907"/>
      <c r="G765" s="685"/>
    </row>
    <row r="766" spans="1:11">
      <c r="A766" s="719"/>
      <c r="B766" s="719"/>
      <c r="C766" s="313"/>
      <c r="D766" s="1907"/>
      <c r="E766" s="1907"/>
      <c r="F766" s="1907"/>
      <c r="G766" s="1732"/>
    </row>
    <row r="767" spans="1:11">
      <c r="A767" s="1725"/>
      <c r="B767" s="1725"/>
      <c r="C767" s="1733"/>
      <c r="D767" s="1709"/>
      <c r="E767" s="685"/>
      <c r="F767" s="685"/>
      <c r="G767" s="685"/>
    </row>
    <row r="768" spans="1:11">
      <c r="A768" s="267"/>
      <c r="B768" s="797" t="s">
        <v>2659</v>
      </c>
      <c r="C768" s="1734"/>
      <c r="D768" s="1907" t="s">
        <v>2268</v>
      </c>
      <c r="E768" s="1907"/>
      <c r="F768" s="1907"/>
      <c r="G768" s="685"/>
      <c r="I768" s="1840" t="s">
        <v>2504</v>
      </c>
    </row>
    <row r="769" spans="1:9">
      <c r="A769" s="1735"/>
      <c r="B769" s="1735"/>
      <c r="C769" s="1736"/>
      <c r="D769" s="1907"/>
      <c r="E769" s="1907"/>
      <c r="F769" s="1907"/>
      <c r="G769" s="685"/>
    </row>
    <row r="770" spans="1:9">
      <c r="A770" s="267"/>
      <c r="B770" s="267"/>
      <c r="C770" s="1734"/>
      <c r="D770" s="1907"/>
      <c r="E770" s="1907"/>
      <c r="F770" s="1907"/>
      <c r="G770" s="685"/>
    </row>
    <row r="771" spans="1:9">
      <c r="A771" s="719"/>
      <c r="B771" s="719"/>
      <c r="C771" s="313"/>
      <c r="D771" s="6"/>
      <c r="E771" s="1737"/>
      <c r="F771" s="1737"/>
      <c r="G771" s="1738"/>
    </row>
    <row r="772" spans="1:9">
      <c r="A772" s="713"/>
      <c r="B772" s="797" t="s">
        <v>2659</v>
      </c>
      <c r="C772" s="1739"/>
      <c r="D772" s="1907" t="s">
        <v>2269</v>
      </c>
      <c r="E772" s="1907"/>
      <c r="F772" s="1907"/>
      <c r="G772" s="1738"/>
      <c r="I772" s="1840" t="s">
        <v>2504</v>
      </c>
    </row>
    <row r="773" spans="1:9">
      <c r="A773" s="713"/>
      <c r="B773" s="713"/>
      <c r="C773" s="1739"/>
      <c r="D773" s="1907"/>
      <c r="E773" s="1907"/>
      <c r="F773" s="1907"/>
      <c r="G773" s="1738"/>
    </row>
    <row r="774" spans="1:9">
      <c r="A774" s="713"/>
      <c r="B774" s="713"/>
      <c r="C774" s="1739"/>
      <c r="D774" s="1907"/>
      <c r="E774" s="1907"/>
      <c r="F774" s="1907"/>
      <c r="G774" s="1738"/>
    </row>
    <row r="775" spans="1:9">
      <c r="A775" s="713"/>
      <c r="B775" s="713"/>
      <c r="C775" s="1739"/>
      <c r="D775" s="1707"/>
      <c r="E775" s="6"/>
      <c r="F775" s="6"/>
      <c r="G775" s="1738"/>
    </row>
    <row r="776" spans="1:9">
      <c r="A776" s="713"/>
      <c r="B776" s="797" t="s">
        <v>2659</v>
      </c>
      <c r="C776" s="1739"/>
      <c r="D776" s="1907" t="s">
        <v>2270</v>
      </c>
      <c r="E776" s="1907"/>
      <c r="F776" s="1907"/>
      <c r="G776" s="1738"/>
      <c r="I776" s="1840" t="s">
        <v>2504</v>
      </c>
    </row>
    <row r="777" spans="1:9">
      <c r="A777" s="713"/>
      <c r="B777" s="713"/>
      <c r="C777" s="1739"/>
      <c r="D777" s="1907"/>
      <c r="E777" s="1907"/>
      <c r="F777" s="1907"/>
      <c r="G777" s="1738"/>
    </row>
    <row r="778" spans="1:9">
      <c r="A778" s="713"/>
      <c r="B778" s="713"/>
      <c r="C778" s="1739"/>
      <c r="D778" s="1907"/>
      <c r="E778" s="1907"/>
      <c r="F778" s="1907"/>
      <c r="G778" s="1738"/>
    </row>
    <row r="779" spans="1:9">
      <c r="A779" s="713"/>
      <c r="B779" s="713"/>
      <c r="C779" s="1739"/>
      <c r="D779" s="1907"/>
      <c r="E779" s="1907"/>
      <c r="F779" s="1907"/>
      <c r="G779" s="1738"/>
    </row>
    <row r="780" spans="1:9">
      <c r="A780" s="713"/>
      <c r="B780" s="713"/>
      <c r="C780" s="1739"/>
      <c r="D780" s="1907"/>
      <c r="E780" s="1907"/>
      <c r="F780" s="1907"/>
      <c r="G780" s="1738"/>
    </row>
    <row r="781" spans="1:9">
      <c r="A781" s="713"/>
      <c r="B781" s="713"/>
      <c r="C781" s="1739"/>
      <c r="D781" s="1907"/>
      <c r="E781" s="1907"/>
      <c r="F781" s="1907"/>
      <c r="G781" s="1738"/>
    </row>
    <row r="782" spans="1:9">
      <c r="A782" s="713"/>
      <c r="B782" s="713"/>
      <c r="C782" s="1739"/>
      <c r="D782" s="1907" t="s">
        <v>2322</v>
      </c>
      <c r="E782" s="1907"/>
      <c r="F782" s="1907"/>
      <c r="G782" s="1738"/>
    </row>
    <row r="783" spans="1:9">
      <c r="A783" s="713"/>
      <c r="B783" s="713"/>
      <c r="C783" s="1739"/>
      <c r="D783" s="1907"/>
      <c r="E783" s="1907"/>
      <c r="F783" s="1907"/>
      <c r="G783" s="1738"/>
    </row>
    <row r="784" spans="1:9">
      <c r="A784" s="713"/>
      <c r="B784" s="713"/>
      <c r="C784" s="1739"/>
      <c r="D784" s="1907"/>
      <c r="E784" s="1907"/>
      <c r="F784" s="1907"/>
      <c r="G784" s="1738"/>
    </row>
    <row r="785" spans="1:9">
      <c r="A785" s="713"/>
      <c r="B785" s="555"/>
      <c r="C785" s="1739"/>
      <c r="D785" s="1740"/>
      <c r="E785" s="1740"/>
      <c r="F785" s="1740"/>
      <c r="G785" s="1738"/>
    </row>
    <row r="786" spans="1:9">
      <c r="A786" s="713"/>
      <c r="B786" s="797" t="s">
        <v>2659</v>
      </c>
      <c r="C786" s="1739"/>
      <c r="D786" s="1907" t="s">
        <v>2271</v>
      </c>
      <c r="E786" s="1907"/>
      <c r="F786" s="1907"/>
      <c r="G786" s="1738"/>
      <c r="I786" s="1840" t="s">
        <v>2504</v>
      </c>
    </row>
    <row r="787" spans="1:9">
      <c r="A787" s="713"/>
      <c r="B787" s="713"/>
      <c r="C787" s="1739"/>
      <c r="D787" s="1907"/>
      <c r="E787" s="1907"/>
      <c r="F787" s="1907"/>
      <c r="G787" s="1738"/>
    </row>
    <row r="788" spans="1:9">
      <c r="A788" s="713"/>
      <c r="B788" s="713"/>
      <c r="C788" s="1739"/>
      <c r="D788" s="1907"/>
      <c r="E788" s="1907"/>
      <c r="F788" s="1907"/>
      <c r="G788" s="1738"/>
    </row>
    <row r="789" spans="1:9">
      <c r="A789" s="713"/>
      <c r="B789" s="713"/>
      <c r="C789" s="1739"/>
      <c r="D789" s="1907"/>
      <c r="E789" s="1907"/>
      <c r="F789" s="1907"/>
      <c r="G789" s="1738"/>
    </row>
    <row r="790" spans="1:9">
      <c r="A790" s="713"/>
      <c r="B790" s="713"/>
      <c r="C790" s="1739"/>
      <c r="D790" s="1907"/>
      <c r="E790" s="1907"/>
      <c r="F790" s="1907"/>
      <c r="G790" s="1738"/>
    </row>
    <row r="791" spans="1:9">
      <c r="A791" s="713"/>
      <c r="B791" s="713"/>
      <c r="C791" s="1739"/>
      <c r="D791" s="1907"/>
      <c r="E791" s="1907"/>
      <c r="F791" s="1907"/>
      <c r="G791" s="1738"/>
    </row>
    <row r="792" spans="1:9">
      <c r="A792" s="713"/>
      <c r="B792" s="713"/>
      <c r="C792" s="1739"/>
      <c r="D792" s="1716"/>
      <c r="E792" s="1716"/>
      <c r="F792" s="1716"/>
      <c r="G792" s="1738"/>
    </row>
    <row r="793" spans="1:9">
      <c r="A793" s="713"/>
      <c r="B793" s="797" t="s">
        <v>2659</v>
      </c>
      <c r="C793" s="1739"/>
      <c r="D793" s="1907" t="s">
        <v>2272</v>
      </c>
      <c r="E793" s="1907"/>
      <c r="F793" s="1907"/>
      <c r="G793" s="1738"/>
      <c r="I793" s="1840" t="s">
        <v>2504</v>
      </c>
    </row>
    <row r="794" spans="1:9">
      <c r="A794" s="713"/>
      <c r="B794" s="713"/>
      <c r="C794" s="1739"/>
      <c r="D794" s="1907"/>
      <c r="E794" s="1907"/>
      <c r="F794" s="1907"/>
      <c r="G794" s="1738"/>
    </row>
    <row r="795" spans="1:9">
      <c r="A795" s="713"/>
      <c r="B795" s="713"/>
      <c r="C795" s="1739"/>
      <c r="D795" s="1907"/>
      <c r="E795" s="1907"/>
      <c r="F795" s="1907"/>
      <c r="G795" s="1738"/>
    </row>
    <row r="796" spans="1:9">
      <c r="A796" s="713"/>
      <c r="B796" s="713"/>
      <c r="C796" s="1739"/>
      <c r="D796" s="1907"/>
      <c r="E796" s="1907"/>
      <c r="F796" s="1907"/>
      <c r="G796" s="1738"/>
    </row>
    <row r="797" spans="1:9">
      <c r="A797" s="713"/>
      <c r="B797" s="713"/>
      <c r="C797" s="1739"/>
      <c r="D797" s="1907"/>
      <c r="E797" s="1907"/>
      <c r="F797" s="1907"/>
      <c r="G797" s="1738"/>
    </row>
    <row r="798" spans="1:9">
      <c r="A798" s="713"/>
      <c r="B798" s="713"/>
      <c r="C798" s="1739"/>
      <c r="D798" s="1907"/>
      <c r="E798" s="1907"/>
      <c r="F798" s="1907"/>
      <c r="G798" s="1738"/>
    </row>
    <row r="799" spans="1:9">
      <c r="A799" s="713"/>
      <c r="B799" s="713"/>
      <c r="C799" s="1739"/>
      <c r="D799" s="1716"/>
      <c r="E799" s="1716"/>
      <c r="F799" s="1716"/>
      <c r="G799" s="1738"/>
    </row>
    <row r="800" spans="1:9">
      <c r="A800" s="713"/>
      <c r="B800" s="797" t="s">
        <v>2659</v>
      </c>
      <c r="C800" s="1739"/>
      <c r="D800" s="1920" t="s">
        <v>2273</v>
      </c>
      <c r="E800" s="1920"/>
      <c r="F800" s="1920"/>
      <c r="G800" s="1738"/>
      <c r="I800" s="1840" t="s">
        <v>2504</v>
      </c>
    </row>
    <row r="801" spans="1:9">
      <c r="A801" s="713"/>
      <c r="B801" s="713"/>
      <c r="C801" s="1739"/>
      <c r="D801" s="1920"/>
      <c r="E801" s="1920"/>
      <c r="F801" s="1920"/>
      <c r="G801" s="1738"/>
    </row>
    <row r="802" spans="1:9">
      <c r="A802" s="1724"/>
      <c r="B802" s="1724"/>
      <c r="C802" s="1739"/>
      <c r="D802" s="1920"/>
      <c r="E802" s="1920"/>
      <c r="F802" s="1920"/>
      <c r="G802" s="1738"/>
    </row>
    <row r="803" spans="1:9">
      <c r="A803" s="713"/>
      <c r="B803" s="1724"/>
      <c r="C803" s="1739"/>
      <c r="D803" s="1920"/>
      <c r="E803" s="1920"/>
      <c r="F803" s="1920"/>
      <c r="G803" s="1738"/>
    </row>
    <row r="804" spans="1:9" ht="12.75" customHeight="1">
      <c r="A804" s="713"/>
      <c r="B804" s="1724"/>
      <c r="C804" s="1739"/>
      <c r="D804" s="1920"/>
      <c r="E804" s="1920"/>
      <c r="F804" s="1920"/>
      <c r="G804" s="1738"/>
    </row>
    <row r="805" spans="1:9" ht="12.75" customHeight="1">
      <c r="A805" s="713"/>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2274</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3"/>
      <c r="B809" s="713"/>
      <c r="C809" s="555"/>
      <c r="D809" s="1904" t="s">
        <v>2323</v>
      </c>
      <c r="E809" s="1904"/>
      <c r="F809" s="1904"/>
      <c r="G809" s="677"/>
    </row>
    <row r="810" spans="1:9" ht="14.25" customHeight="1">
      <c r="A810" s="713"/>
      <c r="B810" s="713"/>
      <c r="C810" s="555"/>
      <c r="D810" s="1862" t="s">
        <v>2275</v>
      </c>
      <c r="E810" s="1862"/>
      <c r="F810" s="1862"/>
      <c r="G810" s="677"/>
    </row>
    <row r="811" spans="1:9" ht="12.75" customHeight="1">
      <c r="A811" s="713"/>
      <c r="B811" s="713"/>
      <c r="C811" s="555"/>
      <c r="D811" s="1702"/>
      <c r="E811" s="1702"/>
      <c r="F811" s="1702"/>
      <c r="G811" s="677"/>
    </row>
    <row r="812" spans="1:9" ht="12.75" customHeight="1">
      <c r="A812" s="1741"/>
      <c r="B812" s="797" t="s">
        <v>2658</v>
      </c>
      <c r="C812" s="1739"/>
      <c r="D812" s="1862" t="s">
        <v>2276</v>
      </c>
      <c r="E812" s="1862"/>
      <c r="F812" s="1862"/>
      <c r="G812" s="677"/>
      <c r="I812" s="1773" t="s">
        <v>2470</v>
      </c>
    </row>
    <row r="813" spans="1:9" ht="14.25" customHeight="1">
      <c r="A813" s="1724"/>
      <c r="B813" s="1724"/>
      <c r="C813" s="1739"/>
      <c r="D813" s="5" t="s">
        <v>2252</v>
      </c>
      <c r="E813" s="1866" t="s">
        <v>2277</v>
      </c>
      <c r="F813" s="1866"/>
      <c r="G813" s="677"/>
    </row>
    <row r="814" spans="1:9" ht="12.75" customHeight="1">
      <c r="A814" s="1724"/>
      <c r="B814" s="1724"/>
      <c r="C814" s="1739"/>
      <c r="D814" s="1742"/>
      <c r="E814" s="6"/>
      <c r="F814" s="6"/>
      <c r="G814" s="677"/>
    </row>
    <row r="815" spans="1:9" ht="14.25" hidden="1" customHeight="1">
      <c r="A815" s="1724"/>
      <c r="B815" s="797" t="s">
        <v>315</v>
      </c>
      <c r="C815" s="1739"/>
      <c r="D815" s="1992" t="s">
        <v>2278</v>
      </c>
      <c r="E815" s="1992"/>
      <c r="F815" s="1992"/>
      <c r="G815" s="677"/>
    </row>
    <row r="816" spans="1:9" ht="12.75" hidden="1" customHeight="1">
      <c r="A816" s="1724"/>
      <c r="B816" s="1724"/>
      <c r="C816" s="1739"/>
      <c r="D816" s="1992"/>
      <c r="E816" s="1992"/>
      <c r="F816" s="1992"/>
      <c r="G816" s="677"/>
    </row>
    <row r="817" spans="1:9" ht="12.75" hidden="1" customHeight="1">
      <c r="A817" s="1724"/>
      <c r="B817" s="1724"/>
      <c r="C817" s="1739"/>
      <c r="D817" s="1992"/>
      <c r="E817" s="1992"/>
      <c r="F817" s="1992"/>
      <c r="G817" s="677"/>
    </row>
    <row r="818" spans="1:9" ht="12.75" hidden="1" customHeight="1">
      <c r="A818" s="1724"/>
      <c r="B818" s="1724"/>
      <c r="C818" s="1739"/>
      <c r="D818" s="1992"/>
      <c r="E818" s="1992"/>
      <c r="F818" s="1992"/>
      <c r="G818" s="677"/>
    </row>
    <row r="819" spans="1:9" ht="12.75" hidden="1" customHeight="1">
      <c r="A819" s="1724"/>
      <c r="B819" s="1724"/>
      <c r="C819" s="1739"/>
      <c r="D819" s="1992"/>
      <c r="E819" s="1992"/>
      <c r="F819" s="1992"/>
      <c r="G819" s="677"/>
    </row>
    <row r="820" spans="1:9" ht="12.75" hidden="1" customHeight="1">
      <c r="A820" s="1724"/>
      <c r="B820" s="1724"/>
      <c r="C820" s="1739"/>
      <c r="D820" s="1992"/>
      <c r="E820" s="1992"/>
      <c r="F820" s="1992"/>
      <c r="G820" s="677"/>
    </row>
    <row r="821" spans="1:9" ht="12.75" hidden="1" customHeight="1">
      <c r="A821" s="1724"/>
      <c r="B821" s="1724"/>
      <c r="C821" s="1739"/>
      <c r="D821" s="1992"/>
      <c r="E821" s="1992"/>
      <c r="F821" s="1992"/>
      <c r="G821" s="677"/>
    </row>
    <row r="822" spans="1:9" ht="12.75" hidden="1" customHeight="1">
      <c r="A822" s="1724"/>
      <c r="B822" s="1724"/>
      <c r="C822" s="1739"/>
      <c r="D822" s="1992"/>
      <c r="E822" s="1992"/>
      <c r="F822" s="1992"/>
      <c r="G822" s="677"/>
    </row>
    <row r="823" spans="1:9" ht="12.75" hidden="1" customHeight="1">
      <c r="A823" s="1724"/>
      <c r="B823" s="1724"/>
      <c r="C823" s="1739"/>
      <c r="D823" s="1992"/>
      <c r="E823" s="1992"/>
      <c r="F823" s="1992"/>
      <c r="G823" s="677"/>
    </row>
    <row r="824" spans="1:9" ht="12.75" hidden="1" customHeight="1">
      <c r="A824" s="1724"/>
      <c r="B824" s="1724"/>
      <c r="C824" s="1739"/>
      <c r="D824" s="1992"/>
      <c r="E824" s="1992"/>
      <c r="F824" s="1992"/>
      <c r="G824" s="677"/>
    </row>
    <row r="825" spans="1:9" ht="12.75" hidden="1" customHeight="1">
      <c r="A825" s="1724"/>
      <c r="B825" s="1724"/>
      <c r="C825" s="1739"/>
      <c r="D825" s="1742"/>
      <c r="E825" s="6"/>
      <c r="F825" s="6"/>
      <c r="G825" s="677"/>
    </row>
    <row r="826" spans="1:9" ht="12.75" customHeight="1">
      <c r="A826" s="713"/>
      <c r="B826" s="797" t="s">
        <v>2658</v>
      </c>
      <c r="C826" s="1739"/>
      <c r="D826" s="1862" t="s">
        <v>2279</v>
      </c>
      <c r="E826" s="1862"/>
      <c r="F826" s="1862"/>
      <c r="G826" s="677"/>
      <c r="I826" s="1773" t="s">
        <v>2490</v>
      </c>
    </row>
    <row r="827" spans="1:9" ht="12.75" customHeight="1">
      <c r="A827" s="713"/>
      <c r="B827" s="713"/>
      <c r="C827" s="1739"/>
      <c r="D827" s="1862"/>
      <c r="E827" s="1862"/>
      <c r="F827" s="1862"/>
      <c r="G827" s="677"/>
    </row>
    <row r="828" spans="1:9" ht="12.75" customHeight="1">
      <c r="A828" s="713"/>
      <c r="B828" s="713"/>
      <c r="C828" s="1739"/>
      <c r="D828" s="1862"/>
      <c r="E828" s="1862"/>
      <c r="F828" s="1862"/>
      <c r="G828" s="677"/>
    </row>
    <row r="829" spans="1:9" ht="12.75" customHeight="1">
      <c r="A829" s="402"/>
      <c r="B829" s="402"/>
      <c r="C829" s="1743"/>
      <c r="D829" s="1720"/>
      <c r="E829" s="677"/>
      <c r="F829" s="677"/>
      <c r="G829" s="677"/>
    </row>
    <row r="830" spans="1:9" ht="12.75" customHeight="1">
      <c r="A830" s="1744"/>
      <c r="B830" s="797" t="s">
        <v>2659</v>
      </c>
      <c r="C830" s="1743"/>
      <c r="D830" s="1993" t="s">
        <v>2280</v>
      </c>
      <c r="E830" s="1993"/>
      <c r="F830" s="1993"/>
      <c r="G830" s="677"/>
    </row>
    <row r="831" spans="1:9" ht="12.75" customHeight="1">
      <c r="A831" s="555"/>
      <c r="B831" s="1744"/>
      <c r="C831" s="1743"/>
      <c r="D831" s="1993"/>
      <c r="E831" s="1993"/>
      <c r="F831" s="1993"/>
      <c r="G831" s="677"/>
    </row>
    <row r="832" spans="1:9" ht="12.75" customHeight="1">
      <c r="A832" s="402"/>
      <c r="B832" s="555"/>
      <c r="C832" s="1743"/>
      <c r="D832" s="1864" t="s">
        <v>2281</v>
      </c>
      <c r="E832" s="1864"/>
      <c r="F832" s="1864"/>
      <c r="G832" s="677"/>
    </row>
    <row r="833" spans="1:9" ht="12.75" customHeight="1">
      <c r="A833" s="402"/>
      <c r="B833" s="402"/>
      <c r="C833" s="1743"/>
      <c r="D833" s="1864"/>
      <c r="E833" s="1864"/>
      <c r="F833" s="1864"/>
      <c r="G833" s="677"/>
    </row>
    <row r="834" spans="1:9" ht="12.75" customHeight="1">
      <c r="A834" s="402"/>
      <c r="B834" s="402"/>
      <c r="C834" s="1743"/>
      <c r="D834" s="1864"/>
      <c r="E834" s="1864"/>
      <c r="F834" s="1864"/>
      <c r="G834" s="677"/>
    </row>
    <row r="835" spans="1:9" ht="12.75" customHeight="1">
      <c r="A835" s="402"/>
      <c r="B835" s="402"/>
      <c r="C835" s="1743"/>
      <c r="D835" s="1864"/>
      <c r="E835" s="1864"/>
      <c r="F835" s="1864"/>
      <c r="G835" s="677"/>
    </row>
    <row r="836" spans="1:9" ht="12.75" customHeight="1">
      <c r="A836" s="402"/>
      <c r="B836" s="402"/>
      <c r="C836" s="1743"/>
      <c r="D836" s="1864"/>
      <c r="E836" s="1864"/>
      <c r="F836" s="1864"/>
      <c r="G836" s="677"/>
    </row>
    <row r="837" spans="1:9" ht="12.75" customHeight="1">
      <c r="A837" s="402"/>
      <c r="B837" s="402"/>
      <c r="C837" s="1743"/>
      <c r="D837" s="1864"/>
      <c r="E837" s="1864"/>
      <c r="F837" s="1864"/>
      <c r="G837" s="677"/>
    </row>
    <row r="838" spans="1:9" ht="12.75" customHeight="1">
      <c r="A838" s="402"/>
      <c r="B838" s="402"/>
      <c r="C838" s="1743"/>
      <c r="D838" s="1720"/>
      <c r="E838" s="677"/>
      <c r="F838" s="677"/>
      <c r="G838" s="677"/>
    </row>
    <row r="839" spans="1:9" ht="12.75" customHeight="1">
      <c r="A839" s="402"/>
      <c r="B839" s="797" t="s">
        <v>2659</v>
      </c>
      <c r="C839" s="1743"/>
      <c r="D839" s="1864" t="s">
        <v>2282</v>
      </c>
      <c r="E839" s="1864"/>
      <c r="F839" s="1864"/>
      <c r="G839" s="677"/>
      <c r="I839" s="1773" t="s">
        <v>2471</v>
      </c>
    </row>
    <row r="840" spans="1:9" ht="12.75" customHeight="1">
      <c r="A840" s="402"/>
      <c r="B840" s="402"/>
      <c r="C840" s="1743"/>
      <c r="D840" s="1864" t="s">
        <v>2283</v>
      </c>
      <c r="E840" s="1864"/>
      <c r="F840" s="1864"/>
      <c r="G840" s="677"/>
    </row>
    <row r="841" spans="1:9" ht="12.75" customHeight="1">
      <c r="A841" s="402"/>
      <c r="B841" s="402"/>
      <c r="C841" s="1743"/>
      <c r="D841" s="183" t="s">
        <v>2249</v>
      </c>
      <c r="E841" s="1994" t="s">
        <v>2284</v>
      </c>
      <c r="F841" s="1994"/>
      <c r="G841" s="677"/>
    </row>
    <row r="842" spans="1:9" ht="12.75" customHeight="1">
      <c r="A842" s="402"/>
      <c r="B842" s="402"/>
      <c r="C842" s="1743"/>
      <c r="D842" s="1720"/>
      <c r="E842" s="677"/>
      <c r="F842" s="677"/>
      <c r="G842" s="677"/>
    </row>
    <row r="843" spans="1:9" ht="12.75" customHeight="1">
      <c r="A843" s="402"/>
      <c r="B843" s="797" t="s">
        <v>2659</v>
      </c>
      <c r="C843" s="1743"/>
      <c r="D843" s="1864" t="s">
        <v>2285</v>
      </c>
      <c r="E843" s="1864"/>
      <c r="F843" s="1864"/>
      <c r="G843" s="677"/>
      <c r="I843" s="1773" t="s">
        <v>2491</v>
      </c>
    </row>
    <row r="844" spans="1:9" ht="12.75" customHeight="1">
      <c r="A844" s="402"/>
      <c r="B844" s="402"/>
      <c r="C844" s="1743"/>
      <c r="D844" s="1864"/>
      <c r="E844" s="1864"/>
      <c r="F844" s="1864"/>
      <c r="G844" s="677"/>
    </row>
    <row r="845" spans="1:9" ht="12.75" customHeight="1">
      <c r="A845" s="402"/>
      <c r="B845" s="402"/>
      <c r="C845" s="1743"/>
      <c r="D845" s="1864"/>
      <c r="E845" s="1864"/>
      <c r="F845" s="1864"/>
      <c r="G845" s="677"/>
    </row>
    <row r="846" spans="1:9" ht="12.75" customHeight="1">
      <c r="A846" s="402"/>
      <c r="B846" s="402"/>
      <c r="C846" s="1743"/>
      <c r="D846" s="1864"/>
      <c r="E846" s="1864"/>
      <c r="F846" s="1864"/>
      <c r="G846" s="677"/>
    </row>
    <row r="847" spans="1:9" ht="12.75" customHeight="1">
      <c r="A847" s="1713"/>
      <c r="B847" s="1713"/>
      <c r="C847" s="1745"/>
      <c r="D847" s="1707"/>
      <c r="E847" s="6"/>
      <c r="F847" s="6"/>
      <c r="G847" s="677"/>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6" t="s">
        <v>2324</v>
      </c>
      <c r="E850" s="1886"/>
      <c r="F850" s="1886"/>
      <c r="G850" s="1738"/>
    </row>
    <row r="851" spans="1:9" ht="12.75" customHeight="1">
      <c r="A851" s="1741"/>
      <c r="B851" s="1741"/>
      <c r="C851" s="313"/>
      <c r="D851" s="1995" t="s">
        <v>2287</v>
      </c>
      <c r="E851" s="1995"/>
      <c r="F851" s="1995"/>
      <c r="G851" s="1738"/>
    </row>
    <row r="852" spans="1:9" ht="12.75" customHeight="1">
      <c r="A852" s="1741"/>
      <c r="B852" s="1741"/>
      <c r="C852" s="313"/>
      <c r="D852" s="1749"/>
      <c r="E852" s="1749"/>
      <c r="F852" s="1749"/>
      <c r="G852" s="1738"/>
    </row>
    <row r="853" spans="1:9" ht="12.75" customHeight="1">
      <c r="A853" s="713"/>
      <c r="B853" s="797" t="s">
        <v>2658</v>
      </c>
      <c r="C853" s="555"/>
      <c r="D853" s="1887" t="s">
        <v>2288</v>
      </c>
      <c r="E853" s="1887"/>
      <c r="F853" s="1887"/>
      <c r="G853" s="1738"/>
      <c r="I853" s="1773" t="s">
        <v>2471</v>
      </c>
    </row>
    <row r="854" spans="1:9" ht="12.75" customHeight="1">
      <c r="A854" s="1741"/>
      <c r="B854" s="1741"/>
      <c r="C854" s="555"/>
      <c r="D854" s="5" t="s">
        <v>2249</v>
      </c>
      <c r="E854" s="1997" t="s">
        <v>2284</v>
      </c>
      <c r="F854" s="1997"/>
      <c r="G854" s="1738"/>
    </row>
    <row r="855" spans="1:9" ht="12.75" customHeight="1">
      <c r="A855" s="1741"/>
      <c r="B855" s="1741"/>
      <c r="C855" s="555"/>
      <c r="D855" s="1707"/>
      <c r="E855" s="1737"/>
      <c r="F855" s="1737"/>
      <c r="G855" s="1738"/>
    </row>
    <row r="856" spans="1:9" ht="12.75" customHeight="1">
      <c r="A856" s="713"/>
      <c r="B856" s="797" t="s">
        <v>2658</v>
      </c>
      <c r="C856" s="555"/>
      <c r="D856" s="1862" t="s">
        <v>2289</v>
      </c>
      <c r="E856" s="1936"/>
      <c r="F856" s="1936"/>
      <c r="G856" s="677"/>
      <c r="I856" s="1773" t="s">
        <v>2491</v>
      </c>
    </row>
    <row r="857" spans="1:9" ht="12.75" customHeight="1">
      <c r="A857" s="1741"/>
      <c r="B857" s="1741"/>
      <c r="C857" s="555"/>
      <c r="D857" s="1936"/>
      <c r="E857" s="1936"/>
      <c r="F857" s="1936"/>
      <c r="G857" s="677"/>
    </row>
    <row r="858" spans="1:9" ht="12.75" customHeight="1">
      <c r="A858" s="1741"/>
      <c r="B858" s="1741"/>
      <c r="C858" s="555"/>
      <c r="D858" s="1707"/>
      <c r="E858" s="6"/>
      <c r="F858" s="6"/>
      <c r="G858" s="677"/>
    </row>
    <row r="859" spans="1:9" ht="12.75" customHeight="1">
      <c r="A859" s="555"/>
      <c r="B859" s="797" t="s">
        <v>2659</v>
      </c>
      <c r="C859" s="556"/>
      <c r="D859" s="1998" t="s">
        <v>2290</v>
      </c>
      <c r="E859" s="1998"/>
      <c r="F859" s="1998"/>
      <c r="G859" s="1738"/>
    </row>
    <row r="860" spans="1:9" ht="12.75" customHeight="1">
      <c r="A860" s="555"/>
      <c r="B860" s="1750"/>
      <c r="C860" s="556"/>
      <c r="D860" s="1998"/>
      <c r="E860" s="1998"/>
      <c r="F860" s="1998"/>
      <c r="G860" s="1738"/>
    </row>
    <row r="861" spans="1:9" ht="12.75" customHeight="1">
      <c r="A861" s="713"/>
      <c r="B861" s="676"/>
      <c r="C861" s="555"/>
      <c r="D861" s="1864" t="s">
        <v>2281</v>
      </c>
      <c r="E861" s="1864"/>
      <c r="F861" s="1864"/>
      <c r="G861" s="1738"/>
    </row>
    <row r="862" spans="1:9" ht="12.75" customHeight="1">
      <c r="A862" s="713"/>
      <c r="B862" s="713"/>
      <c r="C862" s="555"/>
      <c r="D862" s="1864"/>
      <c r="E862" s="1864"/>
      <c r="F862" s="1864"/>
      <c r="G862" s="1738"/>
    </row>
    <row r="863" spans="1:9" ht="12.75" customHeight="1">
      <c r="A863" s="713"/>
      <c r="B863" s="713"/>
      <c r="C863" s="555"/>
      <c r="D863" s="1864"/>
      <c r="E863" s="1864"/>
      <c r="F863" s="1864"/>
      <c r="G863" s="1738"/>
    </row>
    <row r="864" spans="1:9" ht="12.75" customHeight="1">
      <c r="A864" s="713"/>
      <c r="B864" s="713"/>
      <c r="C864" s="555"/>
      <c r="D864" s="1864"/>
      <c r="E864" s="1864"/>
      <c r="F864" s="1864"/>
      <c r="G864" s="1738"/>
    </row>
    <row r="865" spans="1:9" ht="12.75" customHeight="1">
      <c r="A865" s="713"/>
      <c r="B865" s="713"/>
      <c r="C865" s="555"/>
      <c r="D865" s="1864"/>
      <c r="E865" s="1864"/>
      <c r="F865" s="1864"/>
      <c r="G865" s="1738"/>
    </row>
    <row r="866" spans="1:9" ht="12.75" customHeight="1">
      <c r="A866" s="713"/>
      <c r="B866" s="713"/>
      <c r="C866" s="555"/>
      <c r="D866" s="1864"/>
      <c r="E866" s="1864"/>
      <c r="F866" s="1864"/>
      <c r="G866" s="1738"/>
    </row>
    <row r="867" spans="1:9" ht="12.75" customHeight="1">
      <c r="A867" s="713"/>
      <c r="B867" s="713"/>
      <c r="C867" s="555"/>
      <c r="D867" s="1707"/>
      <c r="E867" s="1737"/>
      <c r="F867" s="1737"/>
      <c r="G867" s="1738"/>
    </row>
    <row r="868" spans="1:9" ht="12.75" customHeight="1">
      <c r="A868" s="713"/>
      <c r="B868" s="797" t="s">
        <v>2659</v>
      </c>
      <c r="C868" s="555"/>
      <c r="D868" s="1891" t="s">
        <v>2282</v>
      </c>
      <c r="E868" s="1891"/>
      <c r="F868" s="1891"/>
      <c r="G868" s="1738"/>
      <c r="I868" s="1773" t="s">
        <v>2471</v>
      </c>
    </row>
    <row r="869" spans="1:9" ht="12.75" customHeight="1">
      <c r="A869" s="713"/>
      <c r="B869" s="713"/>
      <c r="C869" s="555"/>
      <c r="D869" s="1891" t="s">
        <v>2283</v>
      </c>
      <c r="E869" s="1891"/>
      <c r="F869" s="1891"/>
      <c r="G869" s="1738"/>
    </row>
    <row r="870" spans="1:9" ht="12.75" customHeight="1">
      <c r="A870" s="713"/>
      <c r="B870" s="713"/>
      <c r="C870" s="555"/>
      <c r="D870" s="5" t="s">
        <v>1501</v>
      </c>
      <c r="E870" s="1999" t="s">
        <v>2284</v>
      </c>
      <c r="F870" s="1999"/>
      <c r="G870" s="1738"/>
    </row>
    <row r="871" spans="1:9" ht="12.75" customHeight="1">
      <c r="A871" s="713"/>
      <c r="B871" s="713"/>
      <c r="C871" s="555"/>
      <c r="D871" s="1707"/>
      <c r="E871" s="1737"/>
      <c r="F871" s="1737"/>
      <c r="G871" s="1738"/>
    </row>
    <row r="872" spans="1:9" ht="12.75" customHeight="1">
      <c r="A872" s="713"/>
      <c r="B872" s="797" t="s">
        <v>2659</v>
      </c>
      <c r="C872" s="555"/>
      <c r="D872" s="1862" t="s">
        <v>2285</v>
      </c>
      <c r="E872" s="1862"/>
      <c r="F872" s="1862"/>
      <c r="G872" s="1738"/>
      <c r="I872" s="1773" t="s">
        <v>2491</v>
      </c>
    </row>
    <row r="873" spans="1:9" ht="12.75" customHeight="1">
      <c r="A873" s="713"/>
      <c r="B873" s="713"/>
      <c r="C873" s="555"/>
      <c r="D873" s="1862"/>
      <c r="E873" s="1862"/>
      <c r="F873" s="1862"/>
      <c r="G873" s="1738"/>
    </row>
    <row r="874" spans="1:9" ht="12.75" customHeight="1">
      <c r="A874" s="713"/>
      <c r="B874" s="713"/>
      <c r="C874" s="555"/>
      <c r="D874" s="1862"/>
      <c r="E874" s="1862"/>
      <c r="F874" s="1862"/>
      <c r="G874" s="1738"/>
    </row>
    <row r="875" spans="1:9" ht="12.75" customHeight="1">
      <c r="A875" s="713"/>
      <c r="B875" s="713"/>
      <c r="C875" s="555"/>
      <c r="D875" s="1862"/>
      <c r="E875" s="1862"/>
      <c r="F875" s="1862"/>
      <c r="G875" s="1738"/>
    </row>
    <row r="876" spans="1:9" ht="12.75" customHeight="1">
      <c r="A876" s="1708"/>
      <c r="B876" s="1708"/>
      <c r="C876" s="1739"/>
      <c r="D876" s="1737"/>
      <c r="E876" s="1737"/>
      <c r="F876" s="1737"/>
      <c r="G876" s="1738"/>
    </row>
    <row r="877" spans="1:9" ht="12.75" customHeight="1">
      <c r="A877" s="1897" t="s">
        <v>2325</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2331</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2658</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06" t="s">
        <v>2326</v>
      </c>
      <c r="E883" s="1906"/>
      <c r="F883" s="1906"/>
      <c r="G883" s="1738"/>
    </row>
    <row r="884" spans="1:9" ht="12.75" customHeight="1">
      <c r="A884" s="1713"/>
      <c r="B884" s="1713"/>
      <c r="C884" s="1745"/>
      <c r="D884" s="1887" t="s">
        <v>2291</v>
      </c>
      <c r="E884" s="1887"/>
      <c r="F884" s="1887"/>
      <c r="G884" s="1738"/>
    </row>
    <row r="885" spans="1:9" ht="12.75" customHeight="1">
      <c r="A885" s="1755"/>
      <c r="B885" s="1755"/>
      <c r="C885" s="1739"/>
      <c r="D885" s="5"/>
      <c r="E885" s="1737"/>
      <c r="F885" s="1737"/>
      <c r="G885" s="1738"/>
    </row>
    <row r="886" spans="1:9" ht="12.75" customHeight="1">
      <c r="A886" s="713"/>
      <c r="B886" s="797" t="s">
        <v>2658</v>
      </c>
      <c r="C886" s="555"/>
      <c r="D886" s="1862" t="s">
        <v>2295</v>
      </c>
      <c r="E886" s="1862"/>
      <c r="F886" s="1862"/>
      <c r="G886" s="677"/>
      <c r="I886" s="1773" t="s">
        <v>2455</v>
      </c>
    </row>
    <row r="887" spans="1:9" ht="12.75" customHeight="1">
      <c r="A887" s="1741"/>
      <c r="B887" s="1741"/>
      <c r="C887" s="555"/>
      <c r="D887" s="1862"/>
      <c r="E887" s="1862"/>
      <c r="F887" s="1862"/>
      <c r="G887" s="677"/>
    </row>
    <row r="888" spans="1:9" s="1771" customFormat="1" ht="12.75" customHeight="1">
      <c r="A888" s="1845"/>
      <c r="B888" s="1845"/>
      <c r="C888" s="1745"/>
      <c r="D888" s="1862" t="s">
        <v>2294</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2"/>
      <c r="B891" s="797" t="s">
        <v>2658</v>
      </c>
      <c r="C891" s="485"/>
      <c r="D891" s="1994" t="s">
        <v>2292</v>
      </c>
      <c r="E891" s="1994"/>
      <c r="F891" s="1994"/>
      <c r="G891" s="1738"/>
      <c r="I891" s="1773" t="s">
        <v>2454</v>
      </c>
    </row>
    <row r="892" spans="1:9" ht="12.75" customHeight="1">
      <c r="A892" s="402"/>
      <c r="B892" s="402"/>
      <c r="C892" s="485"/>
      <c r="D892" s="1994"/>
      <c r="E892" s="1994"/>
      <c r="F892" s="1994"/>
      <c r="G892" s="1738"/>
    </row>
    <row r="893" spans="1:9" ht="12.75" customHeight="1">
      <c r="A893" s="402"/>
      <c r="B893" s="402"/>
      <c r="C893" s="485"/>
      <c r="D893" s="1994"/>
      <c r="E893" s="1994"/>
      <c r="F893" s="1994"/>
      <c r="G893" s="1738"/>
    </row>
    <row r="894" spans="1:9" s="1771" customFormat="1" ht="12.75" customHeight="1">
      <c r="A894" s="402"/>
      <c r="B894" s="402"/>
      <c r="C894" s="485"/>
      <c r="D894" s="1994"/>
      <c r="E894" s="1994"/>
      <c r="F894" s="1994"/>
      <c r="G894" s="1738"/>
      <c r="I894" s="1773"/>
    </row>
    <row r="895" spans="1:9" ht="12.75" customHeight="1">
      <c r="A895" s="402"/>
      <c r="B895" s="402"/>
      <c r="C895" s="485"/>
      <c r="D895" s="1994"/>
      <c r="E895" s="1994"/>
      <c r="F895" s="1994"/>
      <c r="G895" s="1738"/>
    </row>
    <row r="896" spans="1:9" ht="12.75" customHeight="1">
      <c r="A896" s="486"/>
      <c r="B896" s="486"/>
      <c r="C896" s="485"/>
      <c r="D896" s="1994"/>
      <c r="E896" s="1994"/>
      <c r="F896" s="1994"/>
      <c r="G896" s="1738"/>
    </row>
    <row r="897" spans="1:9" ht="12.75" customHeight="1">
      <c r="A897" s="486"/>
      <c r="B897" s="486"/>
      <c r="C897" s="485"/>
      <c r="D897" s="1994"/>
      <c r="E897" s="1994"/>
      <c r="F897" s="1994"/>
      <c r="G897" s="1738"/>
    </row>
    <row r="898" spans="1:9" ht="12.75" customHeight="1">
      <c r="A898" s="486"/>
      <c r="B898" s="486"/>
      <c r="C898" s="485"/>
      <c r="D898" s="1994"/>
      <c r="E898" s="1994"/>
      <c r="F898" s="1994"/>
      <c r="G898" s="1738"/>
    </row>
    <row r="899" spans="1:9" s="1771" customFormat="1" ht="12.75" customHeight="1">
      <c r="A899" s="486"/>
      <c r="B899" s="486"/>
      <c r="C899" s="485"/>
      <c r="D899" s="1846"/>
      <c r="E899" s="1846"/>
      <c r="F899" s="1846"/>
      <c r="G899" s="1738"/>
      <c r="I899" s="1773"/>
    </row>
    <row r="900" spans="1:9" ht="12.75" customHeight="1">
      <c r="A900" s="1755"/>
      <c r="B900" s="797" t="s">
        <v>2659</v>
      </c>
      <c r="C900" s="1739"/>
      <c r="D900" s="1862" t="s">
        <v>2296</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7" t="s">
        <v>2659</v>
      </c>
      <c r="C903" s="1739"/>
      <c r="D903" s="1920" t="s">
        <v>2297</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7" t="s">
        <v>2659</v>
      </c>
      <c r="C908" s="1739"/>
      <c r="D908" s="1887" t="s">
        <v>2298</v>
      </c>
      <c r="E908" s="1887"/>
      <c r="F908" s="1887"/>
      <c r="G908" s="1738"/>
    </row>
    <row r="909" spans="1:9" ht="12.75" customHeight="1">
      <c r="A909" s="1755"/>
      <c r="B909" s="1755"/>
      <c r="C909" s="1739"/>
      <c r="D909" s="1707"/>
      <c r="E909" s="1737"/>
      <c r="F909" s="1737"/>
      <c r="G909" s="1738"/>
    </row>
    <row r="910" spans="1:9" ht="12.75" customHeight="1">
      <c r="A910" s="1755"/>
      <c r="B910" s="797" t="s">
        <v>2659</v>
      </c>
      <c r="C910" s="1739"/>
      <c r="D910" s="1887" t="s">
        <v>2299</v>
      </c>
      <c r="E910" s="1887"/>
      <c r="F910" s="1887"/>
      <c r="G910" s="1738"/>
    </row>
    <row r="911" spans="1:9" ht="12.75" customHeight="1">
      <c r="A911" s="486"/>
      <c r="B911" s="486"/>
      <c r="C911" s="485"/>
      <c r="D911" s="183"/>
      <c r="E911" s="677"/>
      <c r="F911" s="1738"/>
      <c r="G911" s="1738"/>
    </row>
    <row r="912" spans="1:9" ht="12.75" customHeight="1">
      <c r="A912" s="1751"/>
      <c r="B912" s="797" t="s">
        <v>2659</v>
      </c>
      <c r="C912" s="1752"/>
      <c r="D912" s="1994" t="s">
        <v>2293</v>
      </c>
      <c r="E912" s="1994"/>
      <c r="F912" s="1994"/>
      <c r="G912" s="1753"/>
      <c r="I912" s="1773" t="s">
        <v>2506</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6"/>
      <c r="B921" s="486"/>
      <c r="C921" s="485"/>
      <c r="D921" s="183"/>
      <c r="E921" s="677"/>
      <c r="F921" s="1738"/>
      <c r="G921" s="1738"/>
    </row>
    <row r="922" spans="1:9" ht="12.75" customHeight="1">
      <c r="A922" s="402"/>
      <c r="B922" s="797" t="s">
        <v>2658</v>
      </c>
      <c r="C922" s="485"/>
      <c r="D922" s="1996" t="s">
        <v>2509</v>
      </c>
      <c r="E922" s="1996"/>
      <c r="F922" s="1996"/>
      <c r="G922" s="1738"/>
      <c r="I922" s="1773" t="s">
        <v>2506</v>
      </c>
    </row>
    <row r="923" spans="1:9" ht="12.75" customHeight="1">
      <c r="A923" s="402"/>
      <c r="B923" s="402"/>
      <c r="C923" s="485"/>
      <c r="D923" s="1996"/>
      <c r="E923" s="1996"/>
      <c r="F923" s="1996"/>
      <c r="G923" s="1738"/>
    </row>
    <row r="924" spans="1:9" ht="12.75" customHeight="1">
      <c r="A924" s="402"/>
      <c r="B924" s="402"/>
      <c r="C924" s="485"/>
      <c r="D924" s="1996"/>
      <c r="E924" s="1996"/>
      <c r="F924" s="1996"/>
      <c r="G924" s="1738"/>
    </row>
    <row r="925" spans="1:9" ht="12.75" customHeight="1">
      <c r="A925" s="402"/>
      <c r="B925" s="402"/>
      <c r="C925" s="485"/>
      <c r="D925" s="1996"/>
      <c r="E925" s="1996"/>
      <c r="F925" s="1996"/>
      <c r="G925" s="1738"/>
    </row>
    <row r="926" spans="1:9" ht="12.75" customHeight="1">
      <c r="A926" s="402"/>
      <c r="B926" s="402"/>
      <c r="C926" s="485"/>
      <c r="D926" s="1996"/>
      <c r="E926" s="1996"/>
      <c r="F926" s="1996"/>
      <c r="G926" s="1738"/>
    </row>
    <row r="927" spans="1:9" ht="12.75" customHeight="1">
      <c r="A927" s="402"/>
      <c r="B927" s="402"/>
      <c r="C927" s="485"/>
      <c r="D927" s="1996"/>
      <c r="E927" s="1996"/>
      <c r="F927" s="1996"/>
      <c r="G927" s="1738"/>
    </row>
    <row r="928" spans="1:9" ht="12.75" customHeight="1">
      <c r="A928" s="402"/>
      <c r="B928" s="402"/>
      <c r="C928" s="485"/>
      <c r="D928" s="1996"/>
      <c r="E928" s="1996"/>
      <c r="F928" s="1996"/>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2658</v>
      </c>
      <c r="C930" s="485"/>
      <c r="D930" s="1922" t="s">
        <v>2507</v>
      </c>
      <c r="E930" s="1922"/>
      <c r="F930" s="1922"/>
      <c r="G930" s="1738"/>
      <c r="I930" s="1773"/>
    </row>
    <row r="931" spans="1:9" s="1771" customFormat="1" ht="12.75" customHeight="1">
      <c r="A931" s="402"/>
      <c r="B931" s="402"/>
      <c r="C931" s="485"/>
      <c r="D931" s="1922"/>
      <c r="E931" s="1922"/>
      <c r="F931" s="1922"/>
      <c r="G931" s="1738"/>
      <c r="I931" s="1773"/>
    </row>
    <row r="932" spans="1:9" s="1771" customFormat="1" ht="12.75" customHeight="1">
      <c r="A932" s="402"/>
      <c r="B932" s="402"/>
      <c r="C932" s="485"/>
      <c r="D932" s="1922"/>
      <c r="E932" s="1922"/>
      <c r="F932" s="1922"/>
      <c r="G932" s="1738"/>
      <c r="I932" s="1773"/>
    </row>
    <row r="933" spans="1:9" s="1771" customFormat="1" ht="12.75" customHeight="1">
      <c r="A933" s="402"/>
      <c r="B933" s="402"/>
      <c r="C933" s="485"/>
      <c r="D933" s="1922"/>
      <c r="E933" s="1922"/>
      <c r="F933" s="1922"/>
      <c r="G933" s="1738"/>
      <c r="I933" s="1773"/>
    </row>
    <row r="934" spans="1:9" s="1771" customFormat="1" ht="12.75" customHeight="1">
      <c r="A934" s="402"/>
      <c r="B934" s="402"/>
      <c r="C934" s="485"/>
      <c r="D934" s="1922"/>
      <c r="E934" s="1922"/>
      <c r="F934" s="1922"/>
      <c r="G934" s="1738"/>
      <c r="I934" s="1773"/>
    </row>
    <row r="935" spans="1:9" s="1771" customFormat="1" ht="12.75" customHeight="1">
      <c r="A935" s="402"/>
      <c r="B935" s="402"/>
      <c r="C935" s="485"/>
      <c r="D935" s="1922"/>
      <c r="E935" s="1922"/>
      <c r="F935" s="1922"/>
      <c r="G935" s="1738"/>
      <c r="I935" s="1773"/>
    </row>
    <row r="936" spans="1:9" s="1771" customFormat="1" ht="12.75" customHeight="1">
      <c r="A936" s="402"/>
      <c r="B936" s="402"/>
      <c r="C936" s="485"/>
      <c r="D936" s="1847"/>
      <c r="E936" s="1847"/>
      <c r="F936" s="1847"/>
      <c r="G936" s="1738"/>
      <c r="I936" s="1773"/>
    </row>
    <row r="937" spans="1:9" ht="12.75" customHeight="1">
      <c r="A937" s="1755"/>
      <c r="B937" s="797" t="s">
        <v>2659</v>
      </c>
      <c r="C937" s="1739"/>
      <c r="D937" s="2000" t="s">
        <v>2300</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2658</v>
      </c>
      <c r="C942" s="485"/>
      <c r="D942" s="1994" t="s">
        <v>2508</v>
      </c>
      <c r="E942" s="1994"/>
      <c r="F942" s="1994"/>
      <c r="G942" s="1738"/>
      <c r="I942" s="1773" t="s">
        <v>2506</v>
      </c>
    </row>
    <row r="943" spans="1:9" ht="12.75" customHeight="1">
      <c r="A943" s="402"/>
      <c r="B943" s="402"/>
      <c r="C943" s="485"/>
      <c r="D943" s="1994"/>
      <c r="E943" s="1994"/>
      <c r="F943" s="1994"/>
      <c r="G943" s="1738"/>
    </row>
    <row r="944" spans="1:9" ht="12.75" customHeight="1">
      <c r="A944" s="402"/>
      <c r="B944" s="402"/>
      <c r="C944" s="485"/>
      <c r="D944" s="1994"/>
      <c r="E944" s="1994"/>
      <c r="F944" s="1994"/>
      <c r="G944" s="1738"/>
    </row>
    <row r="945" spans="1:9" ht="12.75" customHeight="1">
      <c r="A945" s="402"/>
      <c r="B945" s="402"/>
      <c r="C945" s="485"/>
      <c r="D945" s="1994"/>
      <c r="E945" s="1994"/>
      <c r="F945" s="1994"/>
      <c r="G945" s="1738"/>
    </row>
    <row r="946" spans="1:9" ht="12.75" customHeight="1">
      <c r="A946" s="1757"/>
      <c r="B946" s="1757"/>
      <c r="C946" s="1743"/>
      <c r="D946" s="1704"/>
      <c r="E946" s="1704"/>
      <c r="F946" s="1704"/>
      <c r="G946" s="1704"/>
    </row>
    <row r="947" spans="1:9" ht="12.75" customHeight="1">
      <c r="A947" s="1741"/>
      <c r="B947" s="1741"/>
      <c r="C947" s="555"/>
      <c r="D947" s="1886" t="s">
        <v>2301</v>
      </c>
      <c r="E947" s="1886"/>
      <c r="F947" s="1886"/>
      <c r="G947" s="677"/>
    </row>
    <row r="948" spans="1:9" ht="12.75" customHeight="1">
      <c r="A948" s="713"/>
      <c r="B948" s="797" t="s">
        <v>2659</v>
      </c>
      <c r="C948" s="555"/>
      <c r="D948" s="1887" t="s">
        <v>2327</v>
      </c>
      <c r="E948" s="1887"/>
      <c r="F948" s="1887"/>
      <c r="G948" s="677"/>
      <c r="I948" s="1773" t="s">
        <v>2506</v>
      </c>
    </row>
    <row r="949" spans="1:9" ht="12.75" customHeight="1">
      <c r="A949" s="1741"/>
      <c r="B949" s="1741"/>
      <c r="C949" s="555"/>
      <c r="D949" s="6"/>
      <c r="E949" s="6"/>
      <c r="F949" s="6"/>
      <c r="G949" s="677"/>
    </row>
    <row r="950" spans="1:9" ht="12.75" customHeight="1">
      <c r="A950" s="1741"/>
      <c r="B950" s="1741"/>
      <c r="C950" s="555"/>
      <c r="D950" s="1886" t="s">
        <v>2302</v>
      </c>
      <c r="E950" s="1886"/>
      <c r="F950" s="1886"/>
      <c r="G950" s="676"/>
    </row>
    <row r="951" spans="1:9" ht="12.75" customHeight="1">
      <c r="A951" s="713"/>
      <c r="B951" s="797" t="s">
        <v>2659</v>
      </c>
      <c r="C951" s="555"/>
      <c r="D951" s="1862" t="s">
        <v>2303</v>
      </c>
      <c r="E951" s="1862"/>
      <c r="F951" s="1862"/>
      <c r="G951" s="676"/>
      <c r="I951" s="1773" t="s">
        <v>2506</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1" customFormat="1" ht="12.75" customHeight="1">
      <c r="A963" s="713"/>
      <c r="B963" s="713"/>
      <c r="C963" s="555"/>
      <c r="D963" s="1862"/>
      <c r="E963" s="1862"/>
      <c r="F963" s="1862"/>
      <c r="G963" s="676"/>
      <c r="I963" s="1773"/>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1"/>
      <c r="B966" s="1741"/>
      <c r="C966" s="555"/>
      <c r="D966" s="6"/>
      <c r="E966" s="6"/>
      <c r="F966" s="6"/>
      <c r="G966" s="677"/>
    </row>
    <row r="967" spans="1:9" ht="12.75" customHeight="1">
      <c r="A967" s="1897" t="s">
        <v>2304</v>
      </c>
      <c r="B967" s="1897"/>
      <c r="C967" s="1897"/>
      <c r="D967" s="1897"/>
      <c r="E967" s="1897"/>
      <c r="F967" s="1897"/>
      <c r="G967" s="1897"/>
      <c r="H967" s="1852"/>
      <c r="I967" s="1853"/>
    </row>
    <row r="968" spans="1:9" ht="12.75" customHeight="1">
      <c r="A968" s="1708"/>
      <c r="B968" s="1708"/>
      <c r="C968" s="555"/>
      <c r="D968" s="6"/>
      <c r="E968" s="6"/>
      <c r="F968" s="6"/>
      <c r="G968" s="677"/>
    </row>
    <row r="969" spans="1:9" ht="12.75" customHeight="1">
      <c r="A969" s="1741"/>
      <c r="B969" s="1741"/>
      <c r="C969" s="1739"/>
      <c r="D969" s="1886" t="s">
        <v>2328</v>
      </c>
      <c r="E969" s="1886"/>
      <c r="F969" s="1886"/>
      <c r="G969" s="677"/>
    </row>
    <row r="970" spans="1:9" ht="12.75" customHeight="1">
      <c r="A970" s="1713"/>
      <c r="B970" s="1713"/>
      <c r="C970" s="1745"/>
      <c r="D970" s="1887" t="s">
        <v>2305</v>
      </c>
      <c r="E970" s="1887"/>
      <c r="F970" s="1887"/>
      <c r="G970" s="677"/>
    </row>
    <row r="971" spans="1:9" ht="12.75" customHeight="1">
      <c r="A971" s="1713"/>
      <c r="B971" s="1713"/>
      <c r="C971" s="1745"/>
      <c r="D971" s="6"/>
      <c r="E971" s="6"/>
      <c r="F971" s="1737"/>
      <c r="G971" s="676"/>
    </row>
    <row r="972" spans="1:9" ht="12.75" customHeight="1">
      <c r="A972" s="1741"/>
      <c r="B972" s="797" t="s">
        <v>2658</v>
      </c>
      <c r="C972" s="555"/>
      <c r="D972" s="1866" t="s">
        <v>2306</v>
      </c>
      <c r="E972" s="1866"/>
      <c r="F972" s="1866"/>
      <c r="G972" s="676"/>
      <c r="I972" s="1773" t="s">
        <v>2484</v>
      </c>
    </row>
    <row r="973" spans="1:9" ht="12.75" customHeight="1">
      <c r="A973" s="1741"/>
      <c r="B973" s="1741"/>
      <c r="C973" s="555"/>
      <c r="D973" s="1866"/>
      <c r="E973" s="1866"/>
      <c r="F973" s="1866"/>
      <c r="G973" s="676"/>
    </row>
    <row r="974" spans="1:9" ht="12.75" customHeight="1">
      <c r="A974" s="1741"/>
      <c r="B974" s="1741"/>
      <c r="C974" s="555"/>
      <c r="D974" s="1866"/>
      <c r="E974" s="1866"/>
      <c r="F974" s="1866"/>
      <c r="G974" s="676"/>
    </row>
    <row r="975" spans="1:9" ht="12.75" customHeight="1">
      <c r="A975" s="1741"/>
      <c r="B975" s="1741"/>
      <c r="C975" s="555"/>
      <c r="D975" s="1866"/>
      <c r="E975" s="1866"/>
      <c r="F975" s="1866"/>
      <c r="G975" s="676"/>
    </row>
    <row r="976" spans="1:9" ht="12.75" customHeight="1">
      <c r="A976" s="1725"/>
      <c r="B976" s="1725"/>
      <c r="C976" s="556"/>
      <c r="D976" s="1866"/>
      <c r="E976" s="1866"/>
      <c r="F976" s="1866"/>
      <c r="G976" s="676"/>
    </row>
    <row r="977" spans="1:7" ht="12.75" customHeight="1">
      <c r="A977" s="1725"/>
      <c r="B977" s="1725"/>
      <c r="C977" s="556"/>
      <c r="D977" s="1866"/>
      <c r="E977" s="1866"/>
      <c r="F977" s="1866"/>
      <c r="G977" s="676"/>
    </row>
    <row r="978" spans="1:7" ht="12.75" customHeight="1">
      <c r="A978" s="719"/>
      <c r="B978" s="719"/>
      <c r="C978" s="313"/>
      <c r="D978" s="1866"/>
      <c r="E978" s="1866"/>
      <c r="F978" s="1866"/>
      <c r="G978" s="676"/>
    </row>
    <row r="979" spans="1:7" ht="12.75" customHeight="1">
      <c r="A979" s="719"/>
      <c r="B979" s="719"/>
      <c r="C979" s="313"/>
      <c r="D979" s="1866"/>
      <c r="E979" s="1866"/>
      <c r="F979" s="1866"/>
      <c r="G979" s="676"/>
    </row>
    <row r="980" spans="1:7" ht="12.75" customHeight="1">
      <c r="A980" s="719"/>
      <c r="B980" s="719"/>
      <c r="C980" s="313"/>
      <c r="D980" s="1705"/>
      <c r="E980" s="1705"/>
      <c r="F980" s="1705"/>
      <c r="G980" s="676"/>
    </row>
    <row r="981" spans="1:7" ht="12.75" customHeight="1">
      <c r="A981" s="719"/>
      <c r="B981" s="797" t="s">
        <v>2659</v>
      </c>
      <c r="C981" s="313"/>
      <c r="D981" s="1864" t="s">
        <v>2307</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3"/>
      <c r="E985" s="1703"/>
      <c r="F985" s="1703"/>
      <c r="G985" s="676"/>
    </row>
    <row r="986" spans="1:7" ht="12.75" customHeight="1">
      <c r="A986" s="719"/>
      <c r="B986" s="797" t="s">
        <v>2659</v>
      </c>
      <c r="C986" s="313"/>
      <c r="D986" s="1864" t="s">
        <v>2308</v>
      </c>
      <c r="E986" s="1864"/>
      <c r="F986" s="1864"/>
      <c r="G986" s="676"/>
    </row>
    <row r="987" spans="1:7" ht="12.75" customHeight="1">
      <c r="A987" s="719"/>
      <c r="B987" s="719"/>
      <c r="C987" s="313"/>
      <c r="D987" s="1864"/>
      <c r="E987" s="1864"/>
      <c r="F987" s="1864"/>
      <c r="G987" s="676"/>
    </row>
    <row r="988" spans="1:7" ht="12.75" customHeight="1">
      <c r="A988" s="719"/>
      <c r="B988" s="719"/>
      <c r="C988" s="313"/>
      <c r="D988" s="1703"/>
      <c r="E988" s="1703"/>
      <c r="F988" s="1703"/>
      <c r="G988" s="676"/>
    </row>
    <row r="989" spans="1:7" ht="12.75" customHeight="1">
      <c r="A989" s="713"/>
      <c r="B989" s="797" t="s">
        <v>2658</v>
      </c>
      <c r="C989" s="555"/>
      <c r="D989" s="1887" t="s">
        <v>2309</v>
      </c>
      <c r="E989" s="1887"/>
      <c r="F989" s="1887"/>
      <c r="G989" s="676"/>
    </row>
    <row r="990" spans="1:7" ht="12.75" customHeight="1">
      <c r="A990" s="1741"/>
      <c r="B990" s="1741"/>
      <c r="C990" s="555"/>
      <c r="D990" s="6"/>
      <c r="E990" s="6"/>
      <c r="F990" s="6"/>
      <c r="G990" s="676"/>
    </row>
    <row r="991" spans="1:7" ht="12.75" customHeight="1">
      <c r="A991" s="713"/>
      <c r="B991" s="797" t="s">
        <v>2658</v>
      </c>
      <c r="C991" s="555"/>
      <c r="D991" s="1887" t="s">
        <v>2310</v>
      </c>
      <c r="E991" s="1887"/>
      <c r="F991" s="1887"/>
      <c r="G991" s="676"/>
    </row>
    <row r="992" spans="1:7" ht="12.75" customHeight="1">
      <c r="A992" s="1741"/>
      <c r="B992" s="1741"/>
      <c r="C992" s="555"/>
      <c r="D992" s="1707"/>
      <c r="E992" s="6"/>
      <c r="F992" s="6"/>
      <c r="G992" s="676"/>
    </row>
    <row r="993" spans="1:9" ht="12.75" customHeight="1">
      <c r="A993" s="713"/>
      <c r="B993" s="797" t="s">
        <v>2659</v>
      </c>
      <c r="C993" s="555"/>
      <c r="D993" s="1887" t="s">
        <v>2311</v>
      </c>
      <c r="E993" s="1887"/>
      <c r="F993" s="1887"/>
      <c r="G993" s="676"/>
    </row>
    <row r="994" spans="1:9" ht="12.75" customHeight="1">
      <c r="A994" s="1741"/>
      <c r="B994" s="1741"/>
      <c r="C994" s="555"/>
      <c r="D994" s="1707"/>
      <c r="E994" s="6"/>
      <c r="F994" s="6"/>
      <c r="G994" s="676"/>
    </row>
    <row r="995" spans="1:9" ht="12.75" customHeight="1">
      <c r="A995" s="713"/>
      <c r="B995" s="797" t="s">
        <v>2659</v>
      </c>
      <c r="C995" s="555"/>
      <c r="D995" s="1862" t="s">
        <v>2312</v>
      </c>
      <c r="E995" s="1862"/>
      <c r="F995" s="1862"/>
      <c r="G995" s="676"/>
    </row>
    <row r="996" spans="1:9" ht="12.75" customHeight="1">
      <c r="A996" s="713"/>
      <c r="B996" s="713"/>
      <c r="C996" s="555"/>
      <c r="D996" s="1862"/>
      <c r="E996" s="1862"/>
      <c r="F996" s="1862"/>
      <c r="G996" s="676"/>
    </row>
    <row r="997" spans="1:9" ht="12.75" customHeight="1">
      <c r="A997" s="713"/>
      <c r="B997" s="713"/>
      <c r="C997" s="555"/>
      <c r="D997" s="1707"/>
      <c r="E997" s="6"/>
      <c r="F997" s="6"/>
      <c r="G997" s="677"/>
    </row>
    <row r="998" spans="1:9" ht="12.75" customHeight="1">
      <c r="A998" s="406"/>
      <c r="B998" s="797" t="s">
        <v>2659</v>
      </c>
      <c r="C998" s="1758"/>
      <c r="D998" s="1905" t="s">
        <v>2313</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6"/>
      <c r="B1001" s="797" t="s">
        <v>2659</v>
      </c>
      <c r="C1001" s="1758"/>
      <c r="D1001" s="2006" t="s">
        <v>2314</v>
      </c>
      <c r="E1001" s="2006"/>
      <c r="F1001" s="2006"/>
      <c r="G1001" s="1759"/>
    </row>
    <row r="1002" spans="1:9" ht="12.75" customHeight="1">
      <c r="A1002" s="1758"/>
      <c r="B1002" s="1758"/>
      <c r="C1002" s="1758"/>
      <c r="D1002" s="1760"/>
      <c r="E1002" s="1761"/>
      <c r="F1002" s="1761"/>
      <c r="G1002" s="1759"/>
    </row>
    <row r="1003" spans="1:9" ht="12.75" customHeight="1">
      <c r="A1003" s="713"/>
      <c r="B1003" s="797" t="s">
        <v>2658</v>
      </c>
      <c r="C1003" s="555"/>
      <c r="D1003" s="1887" t="s">
        <v>2315</v>
      </c>
      <c r="E1003" s="1887"/>
      <c r="F1003" s="1887"/>
      <c r="G1003" s="677"/>
    </row>
    <row r="1004" spans="1:9" ht="12.75" customHeight="1">
      <c r="A1004" s="713"/>
      <c r="B1004" s="713"/>
      <c r="C1004" s="555"/>
      <c r="D1004" s="1707"/>
      <c r="E1004" s="6"/>
      <c r="F1004" s="6"/>
      <c r="G1004" s="677"/>
    </row>
    <row r="1005" spans="1:9" ht="12.75" customHeight="1">
      <c r="A1005" s="713"/>
      <c r="B1005" s="797" t="s">
        <v>2659</v>
      </c>
      <c r="C1005" s="555"/>
      <c r="D1005" s="1862" t="s">
        <v>2316</v>
      </c>
      <c r="E1005" s="1862"/>
      <c r="F1005" s="1862"/>
      <c r="G1005" s="677"/>
    </row>
    <row r="1006" spans="1:9" ht="12.75" customHeight="1">
      <c r="A1006" s="713"/>
      <c r="B1006" s="713"/>
      <c r="C1006" s="555"/>
      <c r="D1006" s="1862"/>
      <c r="E1006" s="1862"/>
      <c r="F1006" s="1862"/>
      <c r="G1006" s="677"/>
    </row>
    <row r="1007" spans="1:9" ht="12.75" customHeight="1">
      <c r="A1007" s="1741"/>
      <c r="B1007" s="1741"/>
      <c r="C1007" s="555"/>
      <c r="D1007" s="6"/>
      <c r="E1007" s="6"/>
      <c r="F1007" s="6"/>
      <c r="G1007" s="677"/>
    </row>
    <row r="1008" spans="1:9" ht="12.75" customHeight="1">
      <c r="A1008" s="1897" t="s">
        <v>2317</v>
      </c>
      <c r="B1008" s="1897"/>
      <c r="C1008" s="1897"/>
      <c r="D1008" s="1897"/>
      <c r="E1008" s="1897"/>
      <c r="F1008" s="1897"/>
      <c r="G1008" s="1897"/>
      <c r="H1008" s="1852"/>
      <c r="I1008" s="1853"/>
    </row>
    <row r="1009" spans="1:9" ht="12.75" customHeight="1">
      <c r="A1009" s="1741"/>
      <c r="B1009" s="1741"/>
      <c r="C1009" s="555"/>
      <c r="D1009" s="6"/>
      <c r="E1009" s="6"/>
      <c r="F1009" s="6"/>
      <c r="G1009" s="677"/>
    </row>
    <row r="1010" spans="1:9" ht="12.75" customHeight="1">
      <c r="A1010" s="1725"/>
      <c r="B1010" s="1725"/>
      <c r="C1010" s="556"/>
      <c r="D1010" s="1906" t="s">
        <v>2318</v>
      </c>
      <c r="E1010" s="1906"/>
      <c r="F1010" s="1906"/>
      <c r="G1010" s="677"/>
    </row>
    <row r="1011" spans="1:9" ht="12.75" customHeight="1">
      <c r="A1011" s="1725"/>
      <c r="B1011" s="1725"/>
      <c r="C1011" s="556"/>
      <c r="D1011" s="2005" t="s">
        <v>2319</v>
      </c>
      <c r="E1011" s="2005"/>
      <c r="F1011" s="2005"/>
      <c r="G1011" s="677"/>
    </row>
    <row r="1012" spans="1:9" ht="12.75" customHeight="1">
      <c r="A1012" s="673"/>
      <c r="B1012" s="673"/>
      <c r="C1012" s="1714"/>
      <c r="D1012" s="677"/>
      <c r="E1012" s="677"/>
      <c r="F1012" s="677"/>
      <c r="G1012" s="677"/>
    </row>
    <row r="1013" spans="1:9" ht="12.75" customHeight="1">
      <c r="A1013" s="713"/>
      <c r="B1013" s="713"/>
      <c r="C1013" s="313"/>
      <c r="D1013" s="1906" t="s">
        <v>2333</v>
      </c>
      <c r="E1013" s="1906"/>
      <c r="F1013" s="1906"/>
      <c r="G1013" s="677"/>
      <c r="I1013" s="1773" t="s">
        <v>2456</v>
      </c>
    </row>
    <row r="1014" spans="1:9" ht="12.75" customHeight="1">
      <c r="A1014" s="1741"/>
      <c r="B1014" s="797" t="s">
        <v>2658</v>
      </c>
      <c r="C1014" s="555"/>
      <c r="D1014" s="2005" t="s">
        <v>1502</v>
      </c>
      <c r="E1014" s="2005"/>
      <c r="F1014" s="2005"/>
      <c r="G1014" s="677"/>
    </row>
    <row r="1015" spans="1:9" s="1771" customFormat="1" ht="12.75" customHeight="1">
      <c r="A1015" s="1741"/>
      <c r="B1015" s="713"/>
      <c r="C1015" s="555"/>
      <c r="D1015" s="2001" t="s">
        <v>2320</v>
      </c>
      <c r="E1015" s="2001"/>
      <c r="F1015" s="2001"/>
      <c r="G1015" s="677"/>
      <c r="I1015" s="1773"/>
    </row>
    <row r="1016" spans="1:9" ht="12.75" customHeight="1">
      <c r="A1016" s="1741"/>
      <c r="B1016" s="1741"/>
      <c r="C1016" s="555"/>
      <c r="D1016" s="2005"/>
      <c r="E1016" s="2005"/>
      <c r="F1016" s="2005"/>
      <c r="G1016" s="677"/>
    </row>
    <row r="1017" spans="1:9" ht="12.75" customHeight="1">
      <c r="A1017" s="2002" t="s">
        <v>2329</v>
      </c>
      <c r="B1017" s="2002"/>
      <c r="C1017" s="2002"/>
      <c r="D1017" s="2002"/>
      <c r="E1017" s="2002"/>
      <c r="F1017" s="2002"/>
      <c r="G1017" s="2002"/>
      <c r="H1017" s="1852"/>
      <c r="I1017" s="1853"/>
    </row>
    <row r="1018" spans="1:9" ht="12.75" customHeight="1">
      <c r="A1018" s="254"/>
      <c r="B1018" s="254"/>
      <c r="C1018" s="1733"/>
      <c r="D1018" s="685"/>
      <c r="E1018" s="685"/>
      <c r="F1018" s="685"/>
      <c r="G1018" s="685"/>
    </row>
    <row r="1019" spans="1:9" ht="12.75" customHeight="1">
      <c r="A1019" s="254"/>
      <c r="B1019" s="1768"/>
      <c r="C1019" s="1775"/>
      <c r="D1019" s="1900" t="s">
        <v>1503</v>
      </c>
      <c r="E1019" s="1900"/>
      <c r="F1019" s="1900"/>
      <c r="G1019" s="685"/>
    </row>
    <row r="1020" spans="1:9" ht="12.75" customHeight="1">
      <c r="A1020" s="254"/>
      <c r="B1020" s="1774" t="s">
        <v>2658</v>
      </c>
      <c r="C1020" s="1775"/>
      <c r="D1020" s="1879" t="s">
        <v>1502</v>
      </c>
      <c r="E1020" s="1879"/>
      <c r="F1020" s="1879"/>
      <c r="G1020" s="685"/>
    </row>
    <row r="1021" spans="1:9" ht="12.75" customHeight="1">
      <c r="A1021" s="254"/>
      <c r="B1021" s="1771"/>
      <c r="C1021" s="1775"/>
      <c r="D1021" s="1879" t="s">
        <v>2330</v>
      </c>
      <c r="E1021" s="1879"/>
      <c r="F1021" s="1879"/>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3" t="s">
        <v>1183</v>
      </c>
      <c r="E1023" s="2003"/>
      <c r="F1023" s="2003"/>
      <c r="G1023" s="685"/>
      <c r="I1023" s="1773" t="s">
        <v>2485</v>
      </c>
    </row>
    <row r="1024" spans="1:9" ht="12.75" customHeight="1">
      <c r="A1024" s="502"/>
      <c r="B1024" s="502"/>
      <c r="C1024" s="501"/>
      <c r="D1024" s="2004" t="s">
        <v>1200</v>
      </c>
      <c r="E1024" s="2004"/>
      <c r="F1024" s="2004"/>
      <c r="G1024" s="1762"/>
    </row>
    <row r="1025" spans="1:9" ht="12.75" customHeight="1">
      <c r="A1025" s="713"/>
      <c r="B1025" s="1774" t="s">
        <v>2659</v>
      </c>
      <c r="C1025" s="556"/>
      <c r="D1025" s="1891" t="s">
        <v>1068</v>
      </c>
      <c r="E1025" s="1891"/>
      <c r="F1025" s="1891"/>
      <c r="G1025" s="677"/>
    </row>
    <row r="1026" spans="1:9" ht="12.75" customHeight="1">
      <c r="A1026" s="1725"/>
      <c r="B1026" s="1725"/>
      <c r="C1026" s="556"/>
      <c r="D1026" s="6"/>
      <c r="E1026" s="1978" t="s">
        <v>1184</v>
      </c>
      <c r="F1026" s="1978"/>
      <c r="G1026" s="677"/>
    </row>
    <row r="1027" spans="1:9">
      <c r="A1027" s="789"/>
      <c r="B1027" s="789"/>
      <c r="C1027" s="789"/>
      <c r="D1027" s="789"/>
      <c r="E1027" s="789"/>
      <c r="F1027" s="789"/>
      <c r="G1027" s="789"/>
    </row>
    <row r="1028" spans="1:9">
      <c r="A1028" s="2002" t="s">
        <v>2350</v>
      </c>
      <c r="B1028" s="2002"/>
      <c r="C1028" s="2002"/>
      <c r="D1028" s="2002"/>
      <c r="E1028" s="2002"/>
      <c r="F1028" s="2002"/>
      <c r="G1028" s="2002"/>
      <c r="H1028" s="1852"/>
      <c r="I1028" s="1853"/>
    </row>
    <row r="1029" spans="1:9">
      <c r="A1029" s="789"/>
      <c r="B1029" s="789"/>
      <c r="C1029" s="789"/>
      <c r="D1029" s="789"/>
      <c r="E1029" s="789"/>
      <c r="F1029" s="789"/>
      <c r="G1029" s="789"/>
    </row>
    <row r="1030" spans="1:9">
      <c r="A1030" s="789"/>
      <c r="B1030" s="789"/>
      <c r="C1030" s="789"/>
      <c r="D1030" s="1773" t="s">
        <v>2336</v>
      </c>
      <c r="E1030" s="789"/>
      <c r="F1030" s="789"/>
      <c r="G1030" s="789"/>
    </row>
    <row r="1031" spans="1:9" s="1771" customFormat="1">
      <c r="D1031" s="1770" t="s">
        <v>2335</v>
      </c>
      <c r="I1031" s="1773"/>
    </row>
    <row r="1032" spans="1:9" s="1771" customFormat="1">
      <c r="D1032" s="1773"/>
      <c r="I1032" s="1773"/>
    </row>
    <row r="1033" spans="1:9">
      <c r="A1033" s="789"/>
      <c r="B1033" s="1774" t="s">
        <v>2659</v>
      </c>
      <c r="C1033" s="789"/>
      <c r="D1033" s="2009" t="s">
        <v>2334</v>
      </c>
      <c r="E1033" s="2009"/>
      <c r="F1033" s="2009"/>
      <c r="G1033" s="789"/>
      <c r="I1033" s="1773" t="s">
        <v>2457</v>
      </c>
    </row>
    <row r="1034" spans="1:9">
      <c r="A1034" s="789"/>
      <c r="B1034" s="789"/>
      <c r="C1034" s="789"/>
      <c r="D1034" s="2009"/>
      <c r="E1034" s="2009"/>
      <c r="F1034" s="2009"/>
      <c r="G1034" s="789"/>
    </row>
    <row r="1035" spans="1:9">
      <c r="A1035" s="789"/>
      <c r="B1035" s="789"/>
      <c r="C1035" s="789"/>
      <c r="D1035" s="2009"/>
      <c r="E1035" s="2009"/>
      <c r="F1035" s="2009"/>
      <c r="G1035" s="789"/>
    </row>
    <row r="1036" spans="1:9">
      <c r="A1036" s="789"/>
      <c r="B1036" s="789"/>
      <c r="C1036" s="789"/>
      <c r="D1036" s="2009"/>
      <c r="E1036" s="2009"/>
      <c r="F1036" s="2009"/>
      <c r="G1036" s="789"/>
    </row>
    <row r="1037" spans="1:9">
      <c r="A1037" s="789"/>
      <c r="B1037" s="789"/>
      <c r="C1037" s="789"/>
      <c r="D1037" s="789"/>
      <c r="E1037" s="789"/>
      <c r="F1037" s="789"/>
      <c r="G1037" s="789"/>
    </row>
    <row r="1038" spans="1:9">
      <c r="A1038" s="789"/>
      <c r="B1038" s="1771"/>
      <c r="C1038" s="789"/>
      <c r="D1038" s="1773" t="s">
        <v>1581</v>
      </c>
      <c r="E1038" s="789"/>
      <c r="F1038" s="789"/>
      <c r="G1038" s="789"/>
    </row>
    <row r="1039" spans="1:9">
      <c r="A1039" s="789"/>
      <c r="B1039" s="789"/>
      <c r="C1039" s="789"/>
      <c r="D1039" s="1771" t="s">
        <v>2337</v>
      </c>
      <c r="E1039" s="789"/>
      <c r="F1039" s="789"/>
      <c r="G1039" s="789"/>
    </row>
    <row r="1040" spans="1:9">
      <c r="A1040" s="789"/>
      <c r="B1040" s="789"/>
      <c r="C1040" s="789"/>
      <c r="D1040" s="789"/>
      <c r="E1040" s="789"/>
      <c r="F1040" s="789"/>
      <c r="G1040" s="789"/>
    </row>
    <row r="1041" spans="1:9">
      <c r="A1041" s="789"/>
      <c r="B1041" s="1774" t="s">
        <v>2658</v>
      </c>
      <c r="C1041" s="789"/>
      <c r="D1041" s="1771" t="s">
        <v>2332</v>
      </c>
      <c r="E1041" s="789"/>
      <c r="F1041" s="789"/>
      <c r="G1041" s="789"/>
      <c r="I1041" s="1773" t="s">
        <v>2458</v>
      </c>
    </row>
    <row r="1042" spans="1:9">
      <c r="A1042" s="789"/>
      <c r="B1042" s="789"/>
      <c r="C1042" s="789"/>
      <c r="D1042" s="789"/>
      <c r="E1042" s="789"/>
      <c r="F1042" s="789"/>
      <c r="G1042" s="789"/>
    </row>
    <row r="1043" spans="1:9">
      <c r="A1043" s="789"/>
      <c r="B1043" s="1774" t="s">
        <v>2658</v>
      </c>
      <c r="C1043" s="789"/>
      <c r="D1043" s="2009" t="s">
        <v>2338</v>
      </c>
      <c r="E1043" s="2009"/>
      <c r="F1043" s="2009"/>
      <c r="G1043" s="789"/>
      <c r="I1043" s="1773" t="s">
        <v>2459</v>
      </c>
    </row>
    <row r="1044" spans="1:9">
      <c r="A1044" s="789"/>
      <c r="B1044" s="789"/>
      <c r="C1044" s="789"/>
      <c r="D1044" s="2009"/>
      <c r="E1044" s="2009"/>
      <c r="F1044" s="2009"/>
      <c r="G1044" s="789"/>
    </row>
    <row r="1045" spans="1:9">
      <c r="A1045" s="789"/>
      <c r="B1045" s="789"/>
      <c r="C1045" s="789"/>
      <c r="D1045" s="2009"/>
      <c r="E1045" s="2009"/>
      <c r="F1045" s="2009"/>
      <c r="G1045" s="789"/>
    </row>
    <row r="1046" spans="1:9">
      <c r="A1046" s="789"/>
      <c r="B1046" s="789"/>
      <c r="C1046" s="789"/>
      <c r="D1046" s="2009"/>
      <c r="E1046" s="2009"/>
      <c r="F1046" s="2009"/>
      <c r="G1046" s="789"/>
    </row>
    <row r="1047" spans="1:9">
      <c r="A1047" s="789"/>
      <c r="B1047" s="789"/>
      <c r="C1047" s="789"/>
      <c r="D1047" s="2009"/>
      <c r="E1047" s="2009"/>
      <c r="F1047" s="2009"/>
      <c r="G1047" s="789"/>
    </row>
    <row r="1048" spans="1:9">
      <c r="A1048" s="789"/>
      <c r="B1048" s="789"/>
      <c r="C1048" s="789"/>
      <c r="D1048" s="789"/>
      <c r="E1048" s="789"/>
      <c r="F1048" s="789"/>
      <c r="G1048" s="789"/>
    </row>
    <row r="1049" spans="1:9">
      <c r="A1049" s="2002" t="s">
        <v>2339</v>
      </c>
      <c r="B1049" s="2002"/>
      <c r="C1049" s="2002"/>
      <c r="D1049" s="2002"/>
      <c r="E1049" s="2002"/>
      <c r="F1049" s="2002"/>
      <c r="G1049" s="2002"/>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2658</v>
      </c>
      <c r="C1052" s="789"/>
      <c r="D1052" s="1766" t="s">
        <v>2342</v>
      </c>
      <c r="E1052" s="1770"/>
      <c r="F1052" s="789"/>
      <c r="G1052" s="789"/>
      <c r="I1052" s="1773" t="s">
        <v>2460</v>
      </c>
    </row>
    <row r="1053" spans="1:9">
      <c r="A1053" s="789"/>
      <c r="B1053" s="789"/>
      <c r="C1053" s="789"/>
      <c r="D1053" s="1766" t="s">
        <v>2344</v>
      </c>
      <c r="E1053" s="1770"/>
      <c r="F1053" s="789"/>
      <c r="G1053" s="789"/>
    </row>
    <row r="1054" spans="1:9" s="1771" customFormat="1">
      <c r="D1054" s="1766"/>
      <c r="E1054" s="1770"/>
      <c r="I1054" s="1773"/>
    </row>
    <row r="1055" spans="1:9">
      <c r="A1055" s="789"/>
      <c r="B1055" s="1774" t="s">
        <v>2659</v>
      </c>
      <c r="C1055" s="789"/>
      <c r="D1055" s="1766" t="s">
        <v>2345</v>
      </c>
      <c r="E1055" s="1770"/>
      <c r="F1055" s="789"/>
      <c r="G1055" s="789"/>
      <c r="I1055" s="1773" t="s">
        <v>2461</v>
      </c>
    </row>
    <row r="1056" spans="1:9" s="1771" customFormat="1">
      <c r="D1056" s="1766" t="s">
        <v>2343</v>
      </c>
      <c r="E1056" s="1770"/>
      <c r="I1056" s="1773"/>
    </row>
    <row r="1057" spans="1:9" s="1771" customFormat="1">
      <c r="D1057" s="1766"/>
      <c r="E1057" s="1770"/>
      <c r="I1057" s="1773"/>
    </row>
    <row r="1058" spans="1:9">
      <c r="A1058" s="789"/>
      <c r="B1058" s="1774" t="s">
        <v>2659</v>
      </c>
      <c r="C1058" s="789"/>
      <c r="D1058" s="1765" t="s">
        <v>2348</v>
      </c>
      <c r="E1058" s="1770"/>
      <c r="F1058" s="789"/>
      <c r="G1058" s="789"/>
      <c r="I1058" s="1773" t="s">
        <v>2462</v>
      </c>
    </row>
    <row r="1059" spans="1:9" s="1771" customFormat="1">
      <c r="D1059" s="2010" t="s">
        <v>2349</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2347</v>
      </c>
      <c r="E1063" s="1770"/>
      <c r="I1063" s="1773"/>
    </row>
    <row r="1064" spans="1:9" s="1771" customFormat="1">
      <c r="D1064" s="1765"/>
      <c r="E1064" s="1770"/>
      <c r="I1064" s="1773"/>
    </row>
    <row r="1065" spans="1:9">
      <c r="A1065" s="789"/>
      <c r="B1065" s="789"/>
      <c r="C1065" s="789"/>
      <c r="D1065" s="1766" t="s">
        <v>2340</v>
      </c>
      <c r="E1065" s="1770"/>
      <c r="F1065" s="789"/>
      <c r="G1065" s="789"/>
      <c r="I1065" s="1773" t="s">
        <v>2463</v>
      </c>
    </row>
    <row r="1066" spans="1:9">
      <c r="A1066" s="789"/>
      <c r="B1066" s="1774" t="s">
        <v>2659</v>
      </c>
      <c r="C1066" s="789"/>
      <c r="D1066" s="2007" t="s">
        <v>2341</v>
      </c>
      <c r="E1066" s="2007"/>
      <c r="F1066" s="2007"/>
      <c r="G1066" s="789"/>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89"/>
      <c r="B1070" s="789"/>
      <c r="C1070" s="789"/>
      <c r="D1070" s="2007"/>
      <c r="E1070" s="2007"/>
      <c r="F1070" s="2007"/>
      <c r="G1070" s="789"/>
    </row>
    <row r="1071" spans="1:9">
      <c r="A1071" s="789"/>
      <c r="B1071" s="789"/>
      <c r="C1071" s="789"/>
      <c r="D1071" s="1766" t="s">
        <v>2346</v>
      </c>
      <c r="E1071" s="789"/>
      <c r="F1071" s="789"/>
      <c r="G1071" s="789"/>
    </row>
    <row r="1072" spans="1:9">
      <c r="A1072" s="789"/>
      <c r="B1072" s="789"/>
      <c r="C1072" s="789"/>
      <c r="D1072" s="789"/>
      <c r="E1072" s="789"/>
      <c r="F1072" s="789"/>
      <c r="G1072" s="789"/>
    </row>
    <row r="1073" spans="1:9">
      <c r="A1073" s="2002" t="s">
        <v>2351</v>
      </c>
      <c r="B1073" s="2002"/>
      <c r="C1073" s="2002"/>
      <c r="D1073" s="2002"/>
      <c r="E1073" s="2002"/>
      <c r="F1073" s="2002"/>
      <c r="G1073" s="2002"/>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2659</v>
      </c>
      <c r="C1076" s="789"/>
      <c r="D1076" s="2007" t="s">
        <v>2352</v>
      </c>
      <c r="E1076" s="2007"/>
      <c r="F1076" s="2007"/>
      <c r="G1076" s="789"/>
      <c r="I1076" s="1773" t="s">
        <v>2464</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89"/>
      <c r="B1080" s="1774" t="s">
        <v>2659</v>
      </c>
      <c r="C1080" s="789"/>
      <c r="D1080" s="2007" t="s">
        <v>2353</v>
      </c>
      <c r="E1080" s="2007"/>
      <c r="F1080" s="2007"/>
      <c r="G1080" s="789"/>
      <c r="I1080" s="1773" t="s">
        <v>2465</v>
      </c>
    </row>
    <row r="1081" spans="1:9" s="1771" customFormat="1">
      <c r="D1081" s="2007"/>
      <c r="E1081" s="2007"/>
      <c r="F1081" s="2007"/>
      <c r="I1081" s="1773"/>
    </row>
    <row r="1082" spans="1:9" s="1771" customFormat="1">
      <c r="D1082" s="1766"/>
      <c r="I1082" s="1773"/>
    </row>
    <row r="1083" spans="1:9">
      <c r="A1083" s="789"/>
      <c r="B1083" s="1774" t="s">
        <v>2659</v>
      </c>
      <c r="C1083" s="789"/>
      <c r="D1083" s="2007" t="s">
        <v>2512</v>
      </c>
      <c r="E1083" s="2007"/>
      <c r="F1083" s="2007"/>
      <c r="G1083" s="789"/>
      <c r="I1083" s="1773" t="s">
        <v>2510</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ht="12.5">
      <c r="B1089" s="1771"/>
      <c r="D1089" s="1766" t="s">
        <v>2511</v>
      </c>
    </row>
    <row r="1090" spans="1:9">
      <c r="A1090" s="789"/>
      <c r="B1090" s="1774" t="s">
        <v>2659</v>
      </c>
      <c r="C1090" s="789"/>
      <c r="D1090" s="2007" t="s">
        <v>2354</v>
      </c>
      <c r="E1090" s="2007"/>
      <c r="F1090" s="2007"/>
      <c r="G1090" s="789"/>
      <c r="I1090" s="1836" t="s">
        <v>2466</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89"/>
      <c r="B1094" s="1774" t="s">
        <v>2658</v>
      </c>
      <c r="C1094" s="789"/>
      <c r="D1094" s="2008" t="s">
        <v>2513</v>
      </c>
      <c r="E1094" s="2008"/>
      <c r="F1094" s="2008"/>
      <c r="G1094" s="789"/>
      <c r="I1094" s="1773" t="s">
        <v>2467</v>
      </c>
    </row>
    <row r="1095" spans="1:9">
      <c r="A1095" s="789"/>
      <c r="B1095" s="789"/>
      <c r="C1095" s="789"/>
      <c r="D1095" s="2008"/>
      <c r="E1095" s="2008"/>
      <c r="F1095" s="2008"/>
      <c r="G1095" s="789"/>
    </row>
    <row r="1096" spans="1:9">
      <c r="A1096" s="789"/>
      <c r="B1096" s="789"/>
      <c r="C1096" s="789"/>
      <c r="D1096" s="2008"/>
      <c r="E1096" s="2008"/>
      <c r="F1096" s="2008"/>
      <c r="G1096" s="789"/>
    </row>
    <row r="1097" spans="1:9" s="1771" customFormat="1">
      <c r="D1097" s="1848"/>
      <c r="E1097" s="1848"/>
      <c r="F1097" s="1848"/>
      <c r="I1097" s="1773"/>
    </row>
    <row r="1098" spans="1:9" s="1771" customFormat="1" ht="15.75" customHeight="1">
      <c r="B1098" s="1774" t="s">
        <v>2659</v>
      </c>
      <c r="D1098" s="1864" t="s">
        <v>2515</v>
      </c>
      <c r="E1098" s="1864"/>
      <c r="F1098" s="1864"/>
      <c r="I1098" s="1773" t="s">
        <v>2514</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7.5">
      <c r="A1103" s="789"/>
      <c r="B1103" s="789"/>
      <c r="C1103" s="789"/>
      <c r="D1103" s="789"/>
      <c r="E1103" s="789"/>
      <c r="F1103" s="789"/>
      <c r="G1103" s="789"/>
      <c r="I1103" s="1843" t="s">
        <v>2516</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115" workbookViewId="0">
      <selection activeCell="O637" sqref="O637:Q637"/>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0"/>
      <c r="AN8" s="1570"/>
      <c r="AO8" s="1570"/>
      <c r="AP8" s="1570"/>
      <c r="AQ8" s="1570"/>
      <c r="AR8" s="1570"/>
      <c r="AS8" s="1570"/>
      <c r="AT8" s="1570"/>
      <c r="AU8" s="1570"/>
      <c r="AV8" s="1570"/>
      <c r="AW8" s="1570"/>
      <c r="AX8" s="1570"/>
      <c r="AY8" s="1570"/>
    </row>
    <row r="9" spans="1:96" s="718" customFormat="1" ht="13">
      <c r="A9" s="2090" t="s">
        <v>1988</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09"/>
      <c r="AN9" s="1509"/>
      <c r="AO9" s="1509"/>
      <c r="AP9" s="1509"/>
      <c r="AQ9" s="1509"/>
      <c r="AR9" s="1509"/>
      <c r="AS9" s="1509"/>
      <c r="AT9" s="1509"/>
      <c r="AU9" s="1509"/>
      <c r="AV9" s="1509"/>
      <c r="AW9" s="1509"/>
      <c r="AX9" s="1509"/>
      <c r="AY9" s="1509"/>
      <c r="CR9" s="25"/>
    </row>
    <row r="10" spans="1:96" ht="15" customHeight="1">
      <c r="A10" s="2233" t="s">
        <v>1989</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90" t="s">
        <v>2009</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09"/>
      <c r="AN11" s="1509"/>
      <c r="AO11" s="1509"/>
      <c r="AP11" s="1509"/>
      <c r="AQ11" s="1509"/>
      <c r="AR11" s="1509"/>
      <c r="AS11" s="1509"/>
      <c r="AT11" s="1509"/>
      <c r="AU11" s="1509"/>
      <c r="AV11" s="1509"/>
      <c r="AW11" s="1509"/>
      <c r="AX11" s="1509"/>
      <c r="AY11" s="1509"/>
    </row>
    <row r="12" spans="1:96" ht="12.5">
      <c r="A12" s="2240" t="s">
        <v>2517</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5"/>
      <c r="AN12" s="1515"/>
      <c r="AO12" s="1515"/>
      <c r="AP12" s="1515"/>
      <c r="AQ12" s="1515"/>
      <c r="AR12" s="1515"/>
      <c r="AS12" s="1515"/>
      <c r="AT12" s="1515"/>
      <c r="AU12" s="1515"/>
      <c r="AV12" s="1515"/>
      <c r="AW12" s="1515"/>
      <c r="AX12" s="1515"/>
      <c r="AY12" s="1515"/>
    </row>
    <row r="13" spans="1:96" ht="13">
      <c r="A13" s="1874" t="s">
        <v>1384</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222" t="s">
        <v>2536</v>
      </c>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3"/>
      <c r="AI16" s="2223"/>
      <c r="AJ16" s="2223"/>
    </row>
    <row r="17" spans="1:96" ht="12.75" customHeight="1"/>
    <row r="18" spans="1:96" ht="12.75" customHeight="1">
      <c r="A18" s="134" t="s">
        <v>106</v>
      </c>
      <c r="C18" s="7"/>
      <c r="D18" s="7"/>
      <c r="E18" s="7"/>
      <c r="F18" s="7"/>
      <c r="G18" s="7"/>
      <c r="H18" s="2041" t="s">
        <v>2518</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35" t="s">
        <v>935</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3"/>
      <c r="AN20" s="1573"/>
      <c r="AO20" s="1573"/>
      <c r="AP20" s="1573"/>
      <c r="AQ20" s="1573"/>
      <c r="AR20" s="1573"/>
      <c r="AS20" s="1573"/>
      <c r="AT20" s="1573"/>
      <c r="AU20" s="1573"/>
      <c r="AV20" s="1573"/>
      <c r="AW20" s="1573"/>
      <c r="AX20" s="1573"/>
      <c r="AY20" s="1573"/>
    </row>
    <row r="21" spans="1:96" ht="12.75" customHeight="1">
      <c r="A21" s="2244" t="s">
        <v>1114</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1931644</v>
      </c>
      <c r="N26" s="2243"/>
      <c r="O26" s="2243"/>
      <c r="P26" s="2243"/>
      <c r="Q26" s="224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7">
        <f>'Basis &amp; Credits'!AB77</f>
        <v>4989170</v>
      </c>
      <c r="N27" s="2147"/>
      <c r="O27" s="2147"/>
      <c r="P27" s="2147"/>
      <c r="Q27" s="2147"/>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1511</v>
      </c>
      <c r="C33" s="897"/>
      <c r="D33" s="897"/>
      <c r="E33" s="897"/>
      <c r="F33" s="897"/>
      <c r="G33" s="897"/>
      <c r="H33" s="897"/>
      <c r="I33" s="897"/>
      <c r="J33" s="897"/>
      <c r="K33" s="897"/>
      <c r="L33" s="897"/>
      <c r="M33" s="897"/>
      <c r="N33" s="897"/>
      <c r="O33" s="2106" t="s">
        <v>577</v>
      </c>
      <c r="P33" s="2040"/>
      <c r="Q33" s="897" t="s">
        <v>1512</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1514</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1513</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1515</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7"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236" t="s">
        <v>2660</v>
      </c>
      <c r="H122" s="2236"/>
      <c r="I122" s="239" t="s">
        <v>186</v>
      </c>
      <c r="L122" s="2236" t="s">
        <v>2657</v>
      </c>
      <c r="M122" s="2236"/>
      <c r="N122" s="2236"/>
      <c r="O122" s="910" t="s">
        <v>2656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205" t="s">
        <v>526</v>
      </c>
      <c r="D124" s="2205"/>
      <c r="E124" s="2205"/>
      <c r="F124" s="2205"/>
      <c r="G124" s="2205"/>
      <c r="H124" s="2205"/>
      <c r="I124" s="2205"/>
      <c r="J124" s="2205"/>
      <c r="K124" s="220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236"/>
      <c r="Z126" s="2236"/>
      <c r="AA126" s="2236"/>
      <c r="AB126" s="2236"/>
      <c r="AC126" s="2236"/>
      <c r="AD126" s="2236"/>
      <c r="AE126" s="2236"/>
      <c r="AF126" s="2236"/>
      <c r="AG126" s="2236"/>
      <c r="AH126" s="2236"/>
      <c r="AI126" s="2236"/>
      <c r="AJ126" s="2236"/>
      <c r="AK126" s="2236"/>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242" t="s">
        <v>2519</v>
      </c>
      <c r="Z129" s="2242"/>
      <c r="AA129" s="2242"/>
      <c r="AB129" s="2242"/>
      <c r="AC129" s="2242"/>
      <c r="AD129" s="2242"/>
      <c r="AE129" s="2242"/>
      <c r="AF129" s="2242"/>
      <c r="AG129" s="2242"/>
      <c r="AH129" s="2242"/>
      <c r="AI129" s="2242"/>
      <c r="AJ129" s="2242"/>
      <c r="AK129" s="2242"/>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42" t="s">
        <v>2650</v>
      </c>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41" t="s">
        <v>939</v>
      </c>
      <c r="P153" s="2215"/>
      <c r="Q153" s="2215"/>
      <c r="R153" s="2215"/>
      <c r="S153" s="2215"/>
      <c r="T153" s="2215"/>
      <c r="U153" s="2215"/>
      <c r="V153" s="2215"/>
      <c r="W153" s="2215"/>
      <c r="X153" s="2215"/>
      <c r="Y153" s="2215"/>
      <c r="Z153" s="2215"/>
      <c r="AA153" s="2215"/>
      <c r="AB153" s="2215"/>
      <c r="AC153" s="2215"/>
      <c r="AD153" s="2215"/>
      <c r="AE153" s="2215"/>
      <c r="AF153" s="2215"/>
      <c r="AG153" s="2215"/>
      <c r="AH153" s="2215"/>
    </row>
    <row r="154" spans="1:96" ht="12.75" customHeight="1">
      <c r="D154" s="465" t="s">
        <v>461</v>
      </c>
      <c r="F154" s="32"/>
      <c r="G154" s="32"/>
      <c r="H154" s="32"/>
      <c r="I154" s="32"/>
      <c r="J154" s="32"/>
      <c r="K154" s="32"/>
      <c r="L154" s="32"/>
      <c r="M154" s="32"/>
      <c r="N154" s="32"/>
      <c r="O154" s="2134" t="s">
        <v>2520</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5">
      <c r="D155" s="13" t="s">
        <v>463</v>
      </c>
      <c r="F155" s="13"/>
      <c r="G155" s="13"/>
      <c r="H155" s="13"/>
      <c r="I155" s="13"/>
      <c r="J155" s="13"/>
      <c r="K155" s="13"/>
      <c r="L155" s="13"/>
      <c r="M155" s="13"/>
      <c r="N155" s="13"/>
      <c r="O155" s="2246" t="s">
        <v>462</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5">
      <c r="D156" s="32" t="s">
        <v>321</v>
      </c>
      <c r="F156" s="32"/>
      <c r="G156" s="32"/>
      <c r="H156" s="32"/>
      <c r="I156" s="32"/>
      <c r="J156" s="32"/>
      <c r="K156" s="32"/>
      <c r="L156" s="32"/>
      <c r="M156" s="32"/>
      <c r="N156" s="32"/>
      <c r="O156" s="2042" t="s">
        <v>2521</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315</v>
      </c>
    </row>
    <row r="157" spans="1:96" ht="13">
      <c r="D157" s="32" t="s">
        <v>322</v>
      </c>
      <c r="F157" s="32"/>
      <c r="G157" s="32"/>
      <c r="H157" s="32"/>
      <c r="I157" s="32"/>
      <c r="J157" s="32"/>
      <c r="K157" s="32"/>
      <c r="L157" s="32"/>
      <c r="M157" s="32"/>
      <c r="N157" s="32"/>
      <c r="O157" s="2041" t="s">
        <v>526</v>
      </c>
      <c r="P157" s="2215"/>
      <c r="Q157" s="2215"/>
      <c r="R157" s="2215"/>
      <c r="S157" s="2215"/>
      <c r="T157" s="2215"/>
      <c r="U157" s="2215"/>
      <c r="V157" s="2215"/>
      <c r="W157" s="2215"/>
      <c r="X157" s="2215"/>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247">
        <v>90017</v>
      </c>
      <c r="P158" s="2247"/>
      <c r="Q158" s="2247"/>
      <c r="R158" s="2247"/>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206" t="s">
        <v>2522</v>
      </c>
      <c r="P159" s="2206"/>
      <c r="Q159" s="2206"/>
      <c r="R159" s="2206"/>
      <c r="S159" s="2206"/>
      <c r="T159" s="2206"/>
      <c r="V159" s="146" t="s">
        <v>276</v>
      </c>
      <c r="W159" s="2248"/>
      <c r="X159" s="2248"/>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206" t="s">
        <v>2523</v>
      </c>
      <c r="P160" s="2206"/>
      <c r="Q160" s="2206"/>
      <c r="R160" s="2206"/>
      <c r="S160" s="2206"/>
      <c r="T160" s="2206"/>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207" t="s">
        <v>2524</v>
      </c>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08" t="s">
        <v>1454</v>
      </c>
      <c r="E164" s="2208"/>
      <c r="F164" s="2208"/>
      <c r="G164" s="2208"/>
      <c r="H164" s="2208"/>
      <c r="I164" s="2208"/>
      <c r="J164" s="2208"/>
      <c r="K164" s="2208"/>
      <c r="L164" s="2208"/>
      <c r="M164" s="2208"/>
      <c r="N164" s="2208"/>
      <c r="O164" s="2208"/>
      <c r="P164" s="2208"/>
      <c r="Q164" s="2208"/>
      <c r="R164" s="2208"/>
      <c r="S164" s="2208"/>
      <c r="T164" s="2208"/>
      <c r="U164" s="2208"/>
      <c r="V164" s="2208"/>
      <c r="W164" s="2208"/>
      <c r="X164" s="2208"/>
      <c r="Y164" s="2208"/>
      <c r="Z164" s="2208"/>
      <c r="AA164" s="2208"/>
      <c r="AB164" s="2208"/>
      <c r="AC164" s="2208"/>
      <c r="AD164" s="2208"/>
      <c r="AE164" s="2208"/>
      <c r="AF164" s="2208"/>
      <c r="AG164" s="2208"/>
      <c r="AH164" s="2208"/>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5" t="s">
        <v>571</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218</v>
      </c>
      <c r="BT172" s="12" t="s">
        <v>523</v>
      </c>
    </row>
    <row r="173" spans="1:72" ht="13">
      <c r="A173" s="25"/>
      <c r="C173" s="38"/>
      <c r="D173" s="39" t="s">
        <v>329</v>
      </c>
      <c r="J173" s="2245" t="s">
        <v>388</v>
      </c>
      <c r="K173" s="2245"/>
      <c r="L173" s="2245"/>
      <c r="M173" s="2245"/>
      <c r="N173" s="2245"/>
      <c r="O173" s="2245"/>
      <c r="P173" s="2245"/>
      <c r="Q173" s="2245"/>
      <c r="R173" s="2245"/>
      <c r="S173" s="2245"/>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219</v>
      </c>
      <c r="BT173" s="12" t="s">
        <v>524</v>
      </c>
    </row>
    <row r="174" spans="1:72" ht="13">
      <c r="A174" s="25"/>
      <c r="C174" s="38"/>
      <c r="D174" s="58" t="s">
        <v>1407</v>
      </c>
      <c r="E174" s="25"/>
      <c r="F174" s="25"/>
      <c r="G174" s="25"/>
      <c r="H174" s="25"/>
      <c r="I174" s="25"/>
      <c r="J174" s="2042" t="s">
        <v>2525</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0"/>
      <c r="AN174" s="680"/>
      <c r="AO174" s="680"/>
      <c r="AP174" s="680"/>
      <c r="AQ174" s="680"/>
      <c r="AR174" s="680"/>
      <c r="AS174" s="680"/>
      <c r="AT174" s="680"/>
      <c r="AU174" s="680"/>
      <c r="AV174" s="680"/>
      <c r="AW174" s="680"/>
      <c r="AX174" s="680"/>
      <c r="AY174" s="680"/>
      <c r="BN174" s="36" t="s">
        <v>221</v>
      </c>
      <c r="BT174" s="12" t="s">
        <v>525</v>
      </c>
    </row>
    <row r="175" spans="1:72" ht="13">
      <c r="A175" s="25"/>
      <c r="C175" s="13"/>
      <c r="D175" s="58" t="s">
        <v>330</v>
      </c>
      <c r="F175" s="718"/>
      <c r="G175" s="718"/>
      <c r="H175" s="718"/>
      <c r="I175" s="718"/>
      <c r="J175" s="718"/>
      <c r="K175" s="718"/>
      <c r="L175" s="718"/>
      <c r="M175" s="718"/>
      <c r="N175" s="718"/>
      <c r="O175" s="42"/>
      <c r="Q175" s="25"/>
      <c r="R175" s="25"/>
      <c r="T175" s="718"/>
      <c r="U175" s="2040" t="s">
        <v>705</v>
      </c>
      <c r="V175" s="2040"/>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222</v>
      </c>
      <c r="BT175" s="12" t="s">
        <v>526</v>
      </c>
    </row>
    <row r="176" spans="1:72" ht="13">
      <c r="A176" s="25"/>
      <c r="C176" s="13"/>
      <c r="D176" s="41"/>
      <c r="E176" s="718" t="s">
        <v>311</v>
      </c>
      <c r="F176" s="718"/>
      <c r="G176" s="718"/>
      <c r="H176" s="718"/>
      <c r="I176" s="718"/>
      <c r="J176" s="718"/>
      <c r="K176" s="718"/>
      <c r="L176" s="718"/>
      <c r="M176" s="718"/>
      <c r="N176" s="718"/>
      <c r="O176" s="42"/>
      <c r="P176" s="25" t="s">
        <v>312</v>
      </c>
      <c r="Q176" s="25"/>
      <c r="R176" s="25"/>
      <c r="S176" s="25" t="s">
        <v>313</v>
      </c>
      <c r="T176" s="718"/>
      <c r="U176" s="2161"/>
      <c r="V176" s="2161"/>
      <c r="W176" s="4" t="s">
        <v>314</v>
      </c>
      <c r="X176" s="2231"/>
      <c r="Y176" s="2231"/>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224</v>
      </c>
      <c r="BT176" s="12" t="s">
        <v>527</v>
      </c>
    </row>
    <row r="177" spans="1:96" s="718" customFormat="1" ht="13">
      <c r="A177" s="25"/>
      <c r="B177" s="12"/>
      <c r="C177" s="43"/>
      <c r="D177" s="25" t="s">
        <v>254</v>
      </c>
      <c r="E177" s="12"/>
      <c r="F177" s="12"/>
      <c r="G177" s="12"/>
      <c r="H177" s="12"/>
      <c r="I177" s="12"/>
      <c r="J177" s="12"/>
      <c r="K177" s="12"/>
      <c r="L177" s="12"/>
      <c r="M177" s="25"/>
      <c r="N177" s="12"/>
      <c r="O177" s="12"/>
      <c r="P177" s="12"/>
      <c r="Q177" s="12"/>
      <c r="R177" s="2040" t="s">
        <v>705</v>
      </c>
      <c r="S177" s="2040"/>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225</v>
      </c>
      <c r="BT177" s="718" t="s">
        <v>528</v>
      </c>
      <c r="CR177" s="25"/>
    </row>
    <row r="178" spans="1:96" s="718"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12"/>
      <c r="AG178" s="2412"/>
      <c r="AH178" s="4" t="s">
        <v>314</v>
      </c>
      <c r="AI178" s="2193"/>
      <c r="AJ178" s="2193"/>
      <c r="AK178" s="2193"/>
      <c r="AL178" s="680"/>
      <c r="AM178" s="680"/>
      <c r="AN178" s="680"/>
      <c r="AO178" s="680"/>
      <c r="AP178" s="680"/>
      <c r="AQ178" s="680"/>
      <c r="AR178" s="680"/>
      <c r="AS178" s="680"/>
      <c r="AT178" s="680"/>
      <c r="AU178" s="680"/>
      <c r="AV178" s="680"/>
      <c r="AW178" s="680"/>
      <c r="AX178" s="680"/>
      <c r="AY178" s="680"/>
      <c r="BN178" s="36" t="s">
        <v>226</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227</v>
      </c>
      <c r="BT179" s="718" t="s">
        <v>57</v>
      </c>
      <c r="CR179" s="25"/>
    </row>
    <row r="180" spans="1:96" s="718" customFormat="1" ht="13">
      <c r="A180" s="25"/>
      <c r="B180" s="12"/>
      <c r="C180" s="43"/>
      <c r="D180" s="680" t="s">
        <v>464</v>
      </c>
      <c r="E180" s="25"/>
      <c r="X180" s="2040" t="s">
        <v>705</v>
      </c>
      <c r="Y180" s="2040"/>
      <c r="Z180" s="876"/>
      <c r="AK180" s="680"/>
      <c r="AL180" s="680"/>
      <c r="AM180" s="680"/>
      <c r="AN180" s="680"/>
      <c r="AO180" s="680"/>
      <c r="AP180" s="680"/>
      <c r="AQ180" s="680"/>
      <c r="AR180" s="680"/>
      <c r="AS180" s="680"/>
      <c r="AT180" s="680"/>
      <c r="AU180" s="680"/>
      <c r="AV180" s="680"/>
      <c r="AW180" s="680"/>
      <c r="AX180" s="680"/>
      <c r="AY180" s="680"/>
      <c r="BN180" s="36" t="s">
        <v>229</v>
      </c>
      <c r="BT180" s="718" t="s">
        <v>58</v>
      </c>
      <c r="CR180" s="25"/>
    </row>
    <row r="181" spans="1:96" s="718" customFormat="1" ht="13"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230</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233</v>
      </c>
      <c r="BT183" s="12" t="s">
        <v>64</v>
      </c>
    </row>
    <row r="184" spans="1:96" ht="13">
      <c r="A184" s="25"/>
      <c r="C184" s="45"/>
      <c r="D184" s="25" t="s">
        <v>612</v>
      </c>
      <c r="E184" s="25"/>
      <c r="F184" s="25"/>
      <c r="G184" s="25"/>
      <c r="H184" s="25"/>
      <c r="I184" s="2043" t="str">
        <f>H18</f>
        <v>Beacon Landing</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235</v>
      </c>
      <c r="BT184" s="12" t="s">
        <v>65</v>
      </c>
    </row>
    <row r="185" spans="1:96" ht="13">
      <c r="A185" s="25"/>
      <c r="C185" s="45"/>
      <c r="D185" s="25" t="s">
        <v>613</v>
      </c>
      <c r="E185" s="25"/>
      <c r="F185" s="25"/>
      <c r="G185" s="25"/>
      <c r="H185" s="25"/>
      <c r="I185" s="2044" t="s">
        <v>2526</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237</v>
      </c>
      <c r="BT186" s="12" t="s">
        <v>67</v>
      </c>
    </row>
    <row r="187" spans="1:96" ht="13">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0"/>
      <c r="AN187" s="680"/>
      <c r="AO187" s="680"/>
      <c r="AP187" s="680"/>
      <c r="AQ187" s="680"/>
      <c r="AR187" s="680"/>
      <c r="AS187" s="680"/>
      <c r="AT187" s="680"/>
      <c r="AU187" s="680"/>
      <c r="AV187" s="680"/>
      <c r="AW187" s="680"/>
      <c r="AX187" s="680"/>
      <c r="AY187" s="680"/>
      <c r="BN187" s="36" t="s">
        <v>238</v>
      </c>
      <c r="BT187" s="12" t="s">
        <v>68</v>
      </c>
    </row>
    <row r="188" spans="1:96" ht="13">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0"/>
      <c r="AN188" s="680"/>
      <c r="AO188" s="680"/>
      <c r="AP188" s="680"/>
      <c r="AQ188" s="680"/>
      <c r="AR188" s="680"/>
      <c r="AS188" s="680"/>
      <c r="AT188" s="680"/>
      <c r="AU188" s="680"/>
      <c r="AV188" s="680"/>
      <c r="AW188" s="680"/>
      <c r="AX188" s="680"/>
      <c r="AY188" s="680"/>
      <c r="BN188" s="36" t="s">
        <v>240</v>
      </c>
      <c r="BT188" s="12" t="s">
        <v>69</v>
      </c>
    </row>
    <row r="189" spans="1:96" ht="13">
      <c r="A189" s="25"/>
      <c r="C189" s="45"/>
      <c r="D189" s="25" t="s">
        <v>614</v>
      </c>
      <c r="E189" s="25"/>
      <c r="I189" s="2042" t="s">
        <v>526</v>
      </c>
      <c r="J189" s="2042"/>
      <c r="K189" s="2042"/>
      <c r="L189" s="2042"/>
      <c r="M189" s="2042"/>
      <c r="N189" s="2042"/>
      <c r="O189" s="2042"/>
      <c r="P189" s="2042"/>
      <c r="Q189" s="25" t="s">
        <v>616</v>
      </c>
      <c r="T189" s="2042" t="s">
        <v>526</v>
      </c>
      <c r="U189" s="2042"/>
      <c r="V189" s="2042"/>
      <c r="W189" s="2042"/>
      <c r="X189" s="2042"/>
      <c r="Y189" s="2042"/>
      <c r="Z189" s="2042"/>
      <c r="AA189" s="2042"/>
      <c r="AB189" s="2042"/>
      <c r="AC189" s="2042"/>
      <c r="AD189" s="2042"/>
      <c r="AE189" s="2042"/>
      <c r="AH189" s="25"/>
      <c r="AJ189" s="3"/>
      <c r="AK189" s="3"/>
      <c r="AL189" s="3"/>
      <c r="AM189" s="680"/>
      <c r="AN189" s="680"/>
      <c r="AO189" s="680"/>
      <c r="AP189" s="680"/>
      <c r="AQ189" s="680"/>
      <c r="AR189" s="680"/>
      <c r="AS189" s="680"/>
      <c r="AT189" s="680"/>
      <c r="AU189" s="680"/>
      <c r="AV189" s="680"/>
      <c r="AW189" s="680"/>
      <c r="AX189" s="680"/>
      <c r="AY189" s="680"/>
      <c r="BC189" s="718" t="s">
        <v>315</v>
      </c>
      <c r="BH189" s="58" t="s">
        <v>625</v>
      </c>
      <c r="BN189" s="36" t="s">
        <v>241</v>
      </c>
      <c r="BT189" s="12" t="s">
        <v>70</v>
      </c>
    </row>
    <row r="190" spans="1:96" ht="13">
      <c r="A190" s="25"/>
      <c r="C190" s="46"/>
      <c r="D190" s="25" t="s">
        <v>617</v>
      </c>
      <c r="E190" s="25"/>
      <c r="F190" s="25"/>
      <c r="G190" s="25"/>
      <c r="I190" s="2044">
        <v>90731</v>
      </c>
      <c r="J190" s="2044"/>
      <c r="K190" s="2044"/>
      <c r="L190" s="2044"/>
      <c r="M190" s="2044"/>
      <c r="N190" s="2044"/>
      <c r="O190" s="25" t="s">
        <v>619</v>
      </c>
      <c r="P190" s="25"/>
      <c r="Q190" s="25"/>
      <c r="R190" s="25"/>
      <c r="S190" s="25"/>
      <c r="T190" s="2238">
        <v>2962.1</v>
      </c>
      <c r="U190" s="2238"/>
      <c r="V190" s="2238"/>
      <c r="W190" s="2238"/>
      <c r="X190" s="2238"/>
      <c r="Y190" s="2238"/>
      <c r="Z190" s="2238"/>
      <c r="AA190" s="2238"/>
      <c r="AB190" s="2238"/>
      <c r="AC190" s="2238"/>
      <c r="AD190" s="2238"/>
      <c r="AE190" s="2238"/>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669</v>
      </c>
      <c r="BT190" s="12" t="s">
        <v>71</v>
      </c>
    </row>
    <row r="191" spans="1:96" ht="13">
      <c r="A191" s="25"/>
      <c r="C191" s="46"/>
      <c r="D191" s="25" t="s">
        <v>494</v>
      </c>
      <c r="E191" s="25"/>
      <c r="F191" s="25"/>
      <c r="G191" s="25"/>
      <c r="H191" s="25"/>
      <c r="I191" s="25"/>
      <c r="J191" s="25"/>
      <c r="K191" s="25"/>
      <c r="L191" s="25"/>
      <c r="M191" s="25"/>
      <c r="N191" s="2088" t="s">
        <v>2527</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725</v>
      </c>
      <c r="BT191" s="12" t="s">
        <v>767</v>
      </c>
    </row>
    <row r="192" spans="1:96" ht="13">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1974</v>
      </c>
      <c r="BN192" s="36" t="s">
        <v>726</v>
      </c>
      <c r="BT192" s="12" t="s">
        <v>768</v>
      </c>
    </row>
    <row r="193" spans="1:96" ht="13">
      <c r="A193" s="25"/>
      <c r="B193" s="718"/>
      <c r="C193" s="46"/>
      <c r="D193" s="686" t="s">
        <v>2011</v>
      </c>
      <c r="E193" s="25"/>
      <c r="F193" s="25"/>
      <c r="G193" s="25"/>
      <c r="H193" s="25"/>
      <c r="I193" s="25"/>
      <c r="J193" s="25"/>
      <c r="K193" s="25"/>
      <c r="L193" s="25"/>
      <c r="M193" s="170"/>
      <c r="N193" s="1517"/>
      <c r="O193" s="1517"/>
      <c r="P193" s="1517"/>
      <c r="Q193" s="1517"/>
      <c r="R193" s="1517"/>
      <c r="S193" s="1517"/>
      <c r="T193" s="2219" t="s">
        <v>2528</v>
      </c>
      <c r="U193" s="2219"/>
      <c r="V193" s="2219"/>
      <c r="W193" s="2219"/>
      <c r="X193" s="2219"/>
      <c r="Y193" s="2219"/>
      <c r="Z193" s="2219"/>
      <c r="AA193" s="2219"/>
      <c r="AB193" s="2219"/>
      <c r="AC193" s="2219"/>
      <c r="AD193" s="2219"/>
      <c r="AE193" s="2219"/>
      <c r="AF193" s="2219"/>
      <c r="AG193" s="2219"/>
      <c r="AH193" s="2219"/>
      <c r="AI193" s="2219"/>
      <c r="AJ193" s="680"/>
      <c r="AK193" s="680"/>
      <c r="AL193" s="680"/>
      <c r="AM193" s="680"/>
      <c r="AN193" s="680"/>
      <c r="AO193" s="680"/>
      <c r="AP193" s="680"/>
      <c r="AQ193" s="680"/>
      <c r="AR193" s="680"/>
      <c r="AS193" s="680"/>
      <c r="AT193" s="680"/>
      <c r="AU193" s="680"/>
      <c r="AV193" s="680"/>
      <c r="AW193" s="680"/>
      <c r="AX193" s="680"/>
      <c r="AY193" s="680"/>
      <c r="BC193" s="718" t="s">
        <v>1154</v>
      </c>
      <c r="BH193" s="58" t="s">
        <v>1975</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40" t="s">
        <v>705</v>
      </c>
      <c r="U194" s="2040"/>
      <c r="W194" s="25" t="s">
        <v>721</v>
      </c>
      <c r="X194" s="25"/>
      <c r="Y194" s="25"/>
      <c r="Z194" s="25"/>
      <c r="AA194" s="25"/>
      <c r="AB194" s="25"/>
      <c r="AC194" s="25"/>
      <c r="AD194" s="25"/>
      <c r="AE194" s="25"/>
      <c r="AF194" s="25"/>
      <c r="AG194" s="25"/>
      <c r="AH194" s="2040">
        <v>44</v>
      </c>
      <c r="AI194" s="2040"/>
      <c r="AJ194" s="3"/>
      <c r="AK194" s="3"/>
      <c r="AL194" s="3"/>
      <c r="AM194" s="680"/>
      <c r="AN194" s="680"/>
      <c r="AO194" s="680"/>
      <c r="AP194" s="680"/>
      <c r="AQ194" s="680"/>
      <c r="AR194" s="680"/>
      <c r="AS194" s="680"/>
      <c r="AT194" s="680"/>
      <c r="AU194" s="680"/>
      <c r="AV194" s="680"/>
      <c r="AW194" s="680"/>
      <c r="AX194" s="680"/>
      <c r="AY194" s="680"/>
      <c r="BC194" s="718" t="s">
        <v>1632</v>
      </c>
      <c r="BN194" s="36" t="s">
        <v>728</v>
      </c>
      <c r="BT194" s="12" t="s">
        <v>770</v>
      </c>
    </row>
    <row r="195" spans="1:96" s="718" customFormat="1" ht="13">
      <c r="A195" s="25"/>
      <c r="B195" s="12"/>
      <c r="C195" s="46"/>
      <c r="D195" s="25" t="s">
        <v>403</v>
      </c>
      <c r="E195" s="25"/>
      <c r="F195" s="25"/>
      <c r="G195" s="25"/>
      <c r="H195" s="25"/>
      <c r="I195" s="25"/>
      <c r="J195" s="25"/>
      <c r="K195" s="25"/>
      <c r="L195" s="25"/>
      <c r="M195" s="25"/>
      <c r="N195" s="25"/>
      <c r="O195" s="25"/>
      <c r="P195" s="25"/>
      <c r="Q195" s="25"/>
      <c r="R195" s="25"/>
      <c r="S195" s="12"/>
      <c r="T195" s="2060" t="s">
        <v>577</v>
      </c>
      <c r="U195" s="2060"/>
      <c r="V195" s="12"/>
      <c r="W195" s="25" t="s">
        <v>722</v>
      </c>
      <c r="X195" s="25"/>
      <c r="Y195" s="25"/>
      <c r="Z195" s="25"/>
      <c r="AA195" s="25"/>
      <c r="AB195" s="25"/>
      <c r="AC195" s="25"/>
      <c r="AD195" s="25"/>
      <c r="AE195" s="25"/>
      <c r="AF195" s="25"/>
      <c r="AG195" s="25"/>
      <c r="AH195" s="2040">
        <v>70</v>
      </c>
      <c r="AI195" s="2040"/>
      <c r="AJ195" s="3"/>
      <c r="AK195" s="3"/>
      <c r="AL195" s="3"/>
      <c r="AM195" s="680"/>
      <c r="AN195" s="680"/>
      <c r="AO195" s="680"/>
      <c r="AP195" s="680"/>
      <c r="AQ195" s="680"/>
      <c r="AR195" s="680"/>
      <c r="AS195" s="680"/>
      <c r="AT195" s="680"/>
      <c r="AU195" s="680"/>
      <c r="AV195" s="680"/>
      <c r="AW195" s="680"/>
      <c r="AX195" s="680"/>
      <c r="AY195" s="680"/>
      <c r="BC195" s="718" t="s">
        <v>2382</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60" t="s">
        <v>705</v>
      </c>
      <c r="U196" s="2060"/>
      <c r="W196" s="25" t="s">
        <v>723</v>
      </c>
      <c r="X196" s="25"/>
      <c r="Y196" s="25"/>
      <c r="Z196" s="25"/>
      <c r="AA196" s="25"/>
      <c r="AB196" s="25"/>
      <c r="AC196" s="25"/>
      <c r="AD196" s="25"/>
      <c r="AE196" s="25"/>
      <c r="AF196" s="25"/>
      <c r="AG196" s="25"/>
      <c r="AH196" s="2040">
        <v>35</v>
      </c>
      <c r="AI196" s="2040"/>
      <c r="AJ196" s="3"/>
      <c r="AK196" s="3"/>
      <c r="AL196" s="3"/>
      <c r="AM196" s="680"/>
      <c r="AN196" s="680"/>
      <c r="AO196" s="680"/>
      <c r="AP196" s="680"/>
      <c r="AQ196" s="680"/>
      <c r="AR196" s="680"/>
      <c r="AS196" s="680"/>
      <c r="AT196" s="680"/>
      <c r="AU196" s="680"/>
      <c r="AV196" s="680"/>
      <c r="AW196" s="680"/>
      <c r="AX196" s="680"/>
      <c r="AY196" s="680"/>
      <c r="BN196" s="36" t="s">
        <v>248</v>
      </c>
      <c r="BT196" s="12" t="s">
        <v>72</v>
      </c>
    </row>
    <row r="197" spans="1:96" ht="12.75" customHeight="1">
      <c r="A197" s="25"/>
      <c r="B197" s="718"/>
      <c r="C197" s="46"/>
      <c r="D197" s="240" t="s">
        <v>2003</v>
      </c>
      <c r="E197" s="25"/>
      <c r="F197" s="25"/>
      <c r="G197" s="25"/>
      <c r="H197" s="25"/>
      <c r="I197" s="25"/>
      <c r="J197" s="25"/>
      <c r="K197" s="25"/>
      <c r="L197" s="25"/>
      <c r="M197" s="25"/>
      <c r="N197" s="25"/>
      <c r="O197" s="25"/>
      <c r="P197" s="25"/>
      <c r="Q197" s="25"/>
      <c r="R197" s="25"/>
      <c r="S197" s="718"/>
      <c r="T197" s="2060" t="s">
        <v>625</v>
      </c>
      <c r="U197" s="2060"/>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315</v>
      </c>
      <c r="BD197" s="679"/>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0" t="s">
        <v>705</v>
      </c>
      <c r="Z198" s="2040"/>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197</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737</v>
      </c>
      <c r="BO200" s="12"/>
      <c r="BP200" s="12"/>
      <c r="BQ200" s="12"/>
      <c r="BR200" s="12"/>
      <c r="BS200" s="12"/>
      <c r="BT200" s="54" t="s">
        <v>198</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739</v>
      </c>
      <c r="BO202" s="51"/>
      <c r="BP202" s="54"/>
      <c r="BQ202" s="54"/>
      <c r="BR202" s="54"/>
      <c r="BS202" s="54"/>
      <c r="BT202" s="55" t="s">
        <v>200</v>
      </c>
    </row>
    <row r="203" spans="1:96" ht="12.75" customHeight="1">
      <c r="A203" s="25"/>
      <c r="C203" s="25"/>
      <c r="D203" s="2043" t="s">
        <v>402</v>
      </c>
      <c r="E203" s="2043"/>
      <c r="F203" s="2043"/>
      <c r="G203" s="2043"/>
      <c r="H203" s="2043"/>
      <c r="I203" s="2043"/>
      <c r="J203" s="2043"/>
      <c r="K203" s="2043"/>
      <c r="L203" s="2043"/>
      <c r="M203" s="2043"/>
      <c r="P203" s="2234">
        <f>M26</f>
        <v>1931644</v>
      </c>
      <c r="Q203" s="2230"/>
      <c r="R203" s="2230"/>
      <c r="S203" s="2230"/>
      <c r="T203" s="2230"/>
      <c r="U203" s="2230"/>
      <c r="V203" s="25"/>
      <c r="W203" s="25"/>
      <c r="X203" s="25"/>
      <c r="Y203" s="25"/>
      <c r="Z203" s="2228" t="s">
        <v>2529</v>
      </c>
      <c r="AA203" s="2228"/>
      <c r="AB203" s="2228"/>
      <c r="AC203" s="2228"/>
      <c r="AD203" s="2228"/>
      <c r="AE203" s="2228"/>
      <c r="AF203" s="2228"/>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740</v>
      </c>
      <c r="BO203" s="51"/>
      <c r="BP203" s="54"/>
      <c r="BQ203" s="54"/>
      <c r="BR203" s="54"/>
      <c r="BS203" s="55"/>
      <c r="BT203" s="55" t="s">
        <v>201</v>
      </c>
    </row>
    <row r="204" spans="1:96" ht="12.75" customHeight="1">
      <c r="A204" s="25"/>
      <c r="C204" s="45"/>
      <c r="D204" s="2220" t="s">
        <v>1475</v>
      </c>
      <c r="E204" s="2043"/>
      <c r="F204" s="2043"/>
      <c r="G204" s="2043"/>
      <c r="H204" s="2043"/>
      <c r="I204" s="2043"/>
      <c r="J204" s="2043"/>
      <c r="K204" s="2043"/>
      <c r="L204" s="2043"/>
      <c r="M204" s="2043"/>
      <c r="P204" s="2230">
        <f>M27</f>
        <v>4989170</v>
      </c>
      <c r="Q204" s="2230"/>
      <c r="R204" s="2230"/>
      <c r="S204" s="2230"/>
      <c r="T204" s="2230"/>
      <c r="U204" s="2230"/>
      <c r="V204" s="47"/>
      <c r="W204" s="58" t="s">
        <v>2216</v>
      </c>
      <c r="Z204" s="2228"/>
      <c r="AA204" s="2228"/>
      <c r="AB204" s="2228"/>
      <c r="AC204" s="2228"/>
      <c r="AD204" s="2228"/>
      <c r="AE204" s="2228"/>
      <c r="AF204" s="2228"/>
      <c r="AG204" s="25" t="s">
        <v>1476</v>
      </c>
      <c r="AH204" s="25"/>
      <c r="AI204" s="25"/>
      <c r="AJ204" s="25"/>
      <c r="AK204" s="25"/>
      <c r="AL204" s="25"/>
      <c r="AM204" s="25"/>
      <c r="AN204" s="25"/>
      <c r="AO204" s="25"/>
      <c r="AP204" s="2040" t="s">
        <v>705</v>
      </c>
      <c r="AQ204" s="2040"/>
      <c r="AR204" s="680"/>
      <c r="AS204" s="680"/>
      <c r="AT204" s="680"/>
      <c r="AU204" s="680"/>
      <c r="AV204" s="680"/>
      <c r="AW204" s="680"/>
      <c r="AX204" s="680"/>
      <c r="AY204" s="680"/>
      <c r="BC204" s="683" t="s">
        <v>644</v>
      </c>
      <c r="BD204" s="679"/>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203</v>
      </c>
      <c r="BU206" s="56"/>
    </row>
    <row r="207" spans="1:96" ht="13">
      <c r="A207" s="25"/>
      <c r="C207" s="45"/>
      <c r="D207" s="2215" t="s">
        <v>2530</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204</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205</v>
      </c>
    </row>
    <row r="209" spans="1:96" ht="13">
      <c r="A209" s="50" t="s">
        <v>624</v>
      </c>
      <c r="C209" s="50" t="s">
        <v>405</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206</v>
      </c>
    </row>
    <row r="210" spans="1:96" ht="13">
      <c r="C210" s="45"/>
      <c r="D210" s="2215" t="s">
        <v>1155</v>
      </c>
      <c r="E210" s="2215"/>
      <c r="F210" s="2215"/>
      <c r="G210" s="2215"/>
      <c r="H210" s="2215"/>
      <c r="I210" s="2215"/>
      <c r="J210" s="2215"/>
      <c r="K210" s="2215"/>
      <c r="L210" s="2215"/>
      <c r="M210" s="2215"/>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207</v>
      </c>
    </row>
    <row r="211" spans="1:96" ht="13">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40">
        <v>88</v>
      </c>
      <c r="Z211" s="2040"/>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1973</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315</v>
      </c>
      <c r="BN212" s="36" t="s">
        <v>52</v>
      </c>
      <c r="BT212" s="55" t="s">
        <v>208</v>
      </c>
    </row>
    <row r="213" spans="1:96" s="718" customFormat="1" ht="13">
      <c r="D213" s="2092" t="s">
        <v>625</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209</v>
      </c>
      <c r="CR213" s="25"/>
    </row>
    <row r="214" spans="1:96" ht="13">
      <c r="A214" s="718"/>
      <c r="B214" s="718"/>
      <c r="C214" s="718"/>
      <c r="D214" s="58" t="s">
        <v>2004</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1" t="s">
        <v>625</v>
      </c>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8"/>
      <c r="BA214" s="718"/>
      <c r="BC214" s="12" t="s">
        <v>562</v>
      </c>
      <c r="BN214" s="36" t="s">
        <v>334</v>
      </c>
      <c r="BT214" s="55" t="s">
        <v>210</v>
      </c>
    </row>
    <row r="215" spans="1:96" s="718" customFormat="1" ht="12.75" customHeight="1">
      <c r="A215" s="12"/>
      <c r="B215" s="12"/>
      <c r="C215" s="12"/>
      <c r="D215" s="58" t="s">
        <v>2002</v>
      </c>
      <c r="Z215" s="69"/>
      <c r="AB215" s="2091" t="s">
        <v>625</v>
      </c>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
      <c r="A217" s="503" t="s">
        <v>626</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15" t="s">
        <v>939</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394</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307</v>
      </c>
    </row>
    <row r="221" spans="1:96" ht="13">
      <c r="A221" s="2085" t="s">
        <v>572</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3.5"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625</v>
      </c>
      <c r="AJ225" s="2040"/>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625</v>
      </c>
      <c r="AJ226" s="2040"/>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577</v>
      </c>
      <c r="AJ227" s="2040"/>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625</v>
      </c>
      <c r="AJ228" s="2040"/>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239" t="str">
        <f>H16</f>
        <v>Abode Communities</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3">
      <c r="D232" s="57" t="s">
        <v>90</v>
      </c>
      <c r="E232" s="57"/>
      <c r="F232" s="57"/>
      <c r="G232" s="57"/>
      <c r="H232" s="57"/>
      <c r="I232" s="57"/>
      <c r="J232" s="57"/>
      <c r="K232" s="7"/>
      <c r="M232" s="2041" t="s">
        <v>2531</v>
      </c>
      <c r="N232" s="2215"/>
      <c r="O232" s="2215"/>
      <c r="P232" s="2215"/>
      <c r="Q232" s="2215"/>
      <c r="R232" s="2215"/>
      <c r="S232" s="2215"/>
      <c r="T232" s="2215"/>
      <c r="U232" s="2215"/>
      <c r="V232" s="2215"/>
      <c r="W232" s="2215"/>
      <c r="X232" s="2215"/>
      <c r="Y232" s="2215"/>
      <c r="Z232" s="2215"/>
      <c r="AA232" s="2215"/>
      <c r="AB232" s="2215"/>
      <c r="AC232" s="2215"/>
      <c r="AD232" s="2215"/>
      <c r="AE232" s="2215"/>
      <c r="AZ232" s="7"/>
      <c r="BA232" s="58"/>
      <c r="BB232" s="334" t="s">
        <v>570</v>
      </c>
      <c r="BG232" s="389">
        <f>IF(AND(AND($M$248="nonprofit",$M$256="nonprofit",$M$264="for profit")),2,0)</f>
        <v>0</v>
      </c>
      <c r="BQ232" s="61"/>
    </row>
    <row r="233" spans="1:69" ht="13">
      <c r="D233" s="57" t="s">
        <v>614</v>
      </c>
      <c r="E233" s="57"/>
      <c r="M233" s="2041" t="s">
        <v>526</v>
      </c>
      <c r="N233" s="2215"/>
      <c r="O233" s="2215"/>
      <c r="P233" s="2215"/>
      <c r="Q233" s="2215"/>
      <c r="R233" s="2215"/>
      <c r="S233" s="2215"/>
      <c r="T233" s="2215"/>
      <c r="V233" s="59" t="s">
        <v>91</v>
      </c>
      <c r="W233" s="2134" t="s">
        <v>2532</v>
      </c>
      <c r="X233" s="2032"/>
      <c r="Y233" s="57" t="s">
        <v>617</v>
      </c>
      <c r="AC233" s="2215">
        <v>90015</v>
      </c>
      <c r="AD233" s="2215"/>
      <c r="AE233" s="2215"/>
      <c r="BB233" s="334" t="s">
        <v>570</v>
      </c>
      <c r="BG233" s="389">
        <f>IF(AND(AND($M$248="nonprofit",$M$256="for profit",$M$264="nonprofit")),2,0)</f>
        <v>0</v>
      </c>
    </row>
    <row r="234" spans="1:69" ht="13">
      <c r="D234" s="60" t="s">
        <v>92</v>
      </c>
      <c r="E234" s="7"/>
      <c r="F234" s="7"/>
      <c r="G234" s="7"/>
      <c r="H234" s="7"/>
      <c r="I234" s="7"/>
      <c r="J234" s="7"/>
      <c r="K234" s="29"/>
      <c r="M234" s="2041" t="s">
        <v>2519</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86" t="s">
        <v>2533</v>
      </c>
      <c r="N235" s="2065"/>
      <c r="O235" s="2065"/>
      <c r="P235" s="2065"/>
      <c r="Q235" s="2065"/>
      <c r="R235" s="2065"/>
      <c r="S235" s="7" t="s">
        <v>211</v>
      </c>
      <c r="T235" s="7"/>
      <c r="U235" s="2032"/>
      <c r="V235" s="2032"/>
      <c r="W235" s="2032"/>
      <c r="X235" s="7" t="s">
        <v>94</v>
      </c>
      <c r="Z235" s="2186" t="s">
        <v>2534</v>
      </c>
      <c r="AA235" s="2065"/>
      <c r="AB235" s="2065"/>
      <c r="AC235" s="2065"/>
      <c r="AD235" s="2065"/>
      <c r="AE235" s="2065"/>
      <c r="BB235" s="385"/>
      <c r="BG235" s="386"/>
    </row>
    <row r="236" spans="1:69" ht="12.5">
      <c r="D236" s="60" t="s">
        <v>95</v>
      </c>
      <c r="E236" s="7"/>
      <c r="F236" s="7"/>
      <c r="M236" s="2207" t="s">
        <v>2535</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4" t="s">
        <v>394</v>
      </c>
      <c r="N237" s="2044"/>
      <c r="O237" s="2044"/>
      <c r="P237" s="2044"/>
      <c r="Q237" s="2044"/>
      <c r="R237" s="2044"/>
      <c r="S237" s="2044"/>
      <c r="T237" s="2044"/>
      <c r="U237" s="387" t="s">
        <v>974</v>
      </c>
      <c r="V237" s="325"/>
      <c r="W237" s="325"/>
      <c r="X237" s="325"/>
      <c r="Y237" s="325"/>
      <c r="Z237" s="325"/>
      <c r="AA237" s="2232"/>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22" t="s">
        <v>2538</v>
      </c>
      <c r="N242" s="2223"/>
      <c r="O242" s="2223"/>
      <c r="P242" s="2223"/>
      <c r="Q242" s="2223"/>
      <c r="R242" s="2223"/>
      <c r="S242" s="2223"/>
      <c r="T242" s="2223"/>
      <c r="U242" s="2223"/>
      <c r="V242" s="2223"/>
      <c r="W242" s="2223"/>
      <c r="X242" s="2223"/>
      <c r="Y242" s="2223"/>
      <c r="Z242" s="2223"/>
      <c r="AA242" s="2223"/>
      <c r="AB242" s="2223"/>
      <c r="AC242" s="2223"/>
      <c r="AD242" s="2223"/>
      <c r="AE242" s="2223"/>
      <c r="AF242" s="2223" t="s">
        <v>2537</v>
      </c>
      <c r="AG242" s="2223"/>
      <c r="AH242" s="2223"/>
      <c r="AI242" s="2223"/>
      <c r="AJ242" s="2223"/>
      <c r="AK242" s="2223"/>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1" t="s">
        <v>2531</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041" t="s">
        <v>526</v>
      </c>
      <c r="N244" s="2215"/>
      <c r="O244" s="2215"/>
      <c r="P244" s="2215"/>
      <c r="Q244" s="2215"/>
      <c r="R244" s="2215"/>
      <c r="S244" s="2215"/>
      <c r="T244" s="2215"/>
      <c r="V244" s="59" t="s">
        <v>91</v>
      </c>
      <c r="W244" s="2134" t="s">
        <v>2532</v>
      </c>
      <c r="X244" s="2032"/>
      <c r="Y244" s="57" t="s">
        <v>617</v>
      </c>
      <c r="AC244" s="2215">
        <v>90015</v>
      </c>
      <c r="AD244" s="2215"/>
      <c r="AE244" s="2215"/>
      <c r="AF244" s="58" t="s">
        <v>1378</v>
      </c>
      <c r="AG244" s="718"/>
      <c r="AH244" s="718"/>
      <c r="AI244" s="718"/>
      <c r="AJ244" s="718"/>
      <c r="AK244" s="718"/>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041" t="s">
        <v>2519</v>
      </c>
      <c r="N245" s="2215"/>
      <c r="O245" s="2215"/>
      <c r="P245" s="2215"/>
      <c r="Q245" s="2215"/>
      <c r="R245" s="2215"/>
      <c r="S245" s="2215"/>
      <c r="T245" s="2215"/>
      <c r="U245" s="2215"/>
      <c r="V245" s="2215"/>
      <c r="W245" s="2215"/>
      <c r="X245" s="2215"/>
      <c r="Y245" s="2215"/>
      <c r="Z245" s="2215"/>
      <c r="AA245" s="2215"/>
      <c r="AB245" s="2215"/>
      <c r="AC245" s="2215"/>
      <c r="AD245" s="2215"/>
      <c r="AE245" s="2215"/>
      <c r="AH245" s="2107">
        <v>0.01</v>
      </c>
      <c r="AI245" s="2107"/>
      <c r="AJ245" s="2107"/>
      <c r="AK245" s="2107"/>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5">
      <c r="A246" s="29"/>
      <c r="B246" s="7"/>
      <c r="C246" s="7"/>
      <c r="D246" s="60" t="s">
        <v>93</v>
      </c>
      <c r="E246" s="7"/>
      <c r="F246" s="7"/>
      <c r="M246" s="2186" t="s">
        <v>2533</v>
      </c>
      <c r="N246" s="2065"/>
      <c r="O246" s="2065"/>
      <c r="P246" s="2065"/>
      <c r="Q246" s="2065"/>
      <c r="R246" s="2065"/>
      <c r="S246" s="7" t="s">
        <v>211</v>
      </c>
      <c r="T246" s="7"/>
      <c r="U246" s="2032"/>
      <c r="V246" s="2032"/>
      <c r="W246" s="2032"/>
      <c r="X246" s="7" t="s">
        <v>94</v>
      </c>
      <c r="Z246" s="2186" t="s">
        <v>2534</v>
      </c>
      <c r="AA246" s="2065"/>
      <c r="AB246" s="2065"/>
      <c r="AC246" s="2065"/>
      <c r="AD246" s="2065"/>
      <c r="AE246" s="2065"/>
      <c r="BB246" s="7" t="s">
        <v>177</v>
      </c>
      <c r="BG246" s="12">
        <v>3</v>
      </c>
      <c r="BH246" s="12" t="s">
        <v>568</v>
      </c>
      <c r="BN246" s="390"/>
      <c r="BO246" s="39"/>
    </row>
    <row r="247" spans="1:72" ht="12.5">
      <c r="A247" s="29"/>
      <c r="B247" s="7"/>
      <c r="C247" s="7"/>
      <c r="D247" s="60" t="s">
        <v>95</v>
      </c>
      <c r="E247" s="7"/>
      <c r="F247" s="7"/>
      <c r="M247" s="2207" t="s">
        <v>2535</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4" t="s">
        <v>566</v>
      </c>
      <c r="N248" s="2044"/>
      <c r="O248" s="2044"/>
      <c r="P248" s="2044"/>
      <c r="Q248" s="2044"/>
      <c r="R248" s="2044"/>
      <c r="S248" s="2044"/>
      <c r="T248" s="2044"/>
      <c r="U248" s="387" t="s">
        <v>974</v>
      </c>
      <c r="V248" s="325"/>
      <c r="W248" s="325"/>
      <c r="X248" s="325"/>
      <c r="Y248" s="325"/>
      <c r="Z248" s="325"/>
      <c r="AA248" s="2232" t="s">
        <v>2536</v>
      </c>
      <c r="AB248" s="2224"/>
      <c r="AC248" s="2224"/>
      <c r="AD248" s="2224"/>
      <c r="AE248" s="2224"/>
      <c r="AF248" s="2224"/>
      <c r="AG248" s="2224"/>
      <c r="AH248" s="2224"/>
      <c r="AI248" s="2224"/>
      <c r="AJ248" s="2224"/>
      <c r="AK248" s="222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23"/>
      <c r="N250" s="2223"/>
      <c r="O250" s="2223"/>
      <c r="P250" s="2223"/>
      <c r="Q250" s="2223"/>
      <c r="R250" s="2223"/>
      <c r="S250" s="2223"/>
      <c r="T250" s="2223"/>
      <c r="U250" s="2223"/>
      <c r="V250" s="2223"/>
      <c r="W250" s="2223"/>
      <c r="X250" s="2223"/>
      <c r="Y250" s="2223"/>
      <c r="Z250" s="2223"/>
      <c r="AA250" s="2223"/>
      <c r="AB250" s="2223"/>
      <c r="AC250" s="2223"/>
      <c r="AD250" s="2223"/>
      <c r="AE250" s="2223"/>
      <c r="AF250" s="2223" t="s">
        <v>315</v>
      </c>
      <c r="AG250" s="2223"/>
      <c r="AH250" s="2223"/>
      <c r="AI250" s="2223"/>
      <c r="AJ250" s="2223"/>
      <c r="AK250" s="2223"/>
      <c r="BN250" s="61"/>
    </row>
    <row r="251" spans="1:72" ht="12.5">
      <c r="A251" s="29"/>
      <c r="B251" s="7"/>
      <c r="C251" s="7"/>
      <c r="D251" s="57" t="s">
        <v>90</v>
      </c>
      <c r="E251" s="57"/>
      <c r="F251" s="57"/>
      <c r="G251" s="57"/>
      <c r="H251" s="57"/>
      <c r="I251" s="57"/>
      <c r="J251" s="57"/>
      <c r="K251" s="57"/>
      <c r="L251" s="7"/>
      <c r="M251" s="2215"/>
      <c r="N251" s="2215"/>
      <c r="O251" s="2215"/>
      <c r="P251" s="2215"/>
      <c r="Q251" s="2215"/>
      <c r="R251" s="2215"/>
      <c r="S251" s="2215"/>
      <c r="T251" s="2215"/>
      <c r="U251" s="2215"/>
      <c r="V251" s="2215"/>
      <c r="W251" s="2215"/>
      <c r="X251" s="2215"/>
      <c r="Y251" s="2215"/>
      <c r="Z251" s="2215"/>
      <c r="AA251" s="2215"/>
      <c r="AB251" s="2215"/>
      <c r="AC251" s="2215"/>
      <c r="AD251" s="2215"/>
      <c r="AE251" s="2215"/>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215"/>
      <c r="N252" s="2215"/>
      <c r="O252" s="2215"/>
      <c r="P252" s="2215"/>
      <c r="Q252" s="2215"/>
      <c r="R252" s="2215"/>
      <c r="S252" s="2215"/>
      <c r="T252" s="2215"/>
      <c r="V252" s="59" t="s">
        <v>91</v>
      </c>
      <c r="W252" s="2032"/>
      <c r="X252" s="2032"/>
      <c r="Y252" s="57" t="s">
        <v>617</v>
      </c>
      <c r="AC252" s="2215"/>
      <c r="AD252" s="2215"/>
      <c r="AE252" s="2215"/>
      <c r="AF252" s="58" t="s">
        <v>1378</v>
      </c>
      <c r="AG252" s="718"/>
      <c r="AH252" s="718"/>
      <c r="AI252" s="718"/>
      <c r="AJ252" s="718"/>
      <c r="AK252" s="718"/>
      <c r="BN252" s="61"/>
    </row>
    <row r="253" spans="1:72" ht="12.5">
      <c r="A253" s="29"/>
      <c r="B253" s="7"/>
      <c r="C253" s="7"/>
      <c r="D253" s="60" t="s">
        <v>92</v>
      </c>
      <c r="E253" s="7"/>
      <c r="F253" s="7"/>
      <c r="G253" s="7"/>
      <c r="H253" s="7"/>
      <c r="I253" s="7"/>
      <c r="J253" s="7"/>
      <c r="K253" s="7"/>
      <c r="L253" s="29"/>
      <c r="M253" s="2215"/>
      <c r="N253" s="2215"/>
      <c r="O253" s="2215"/>
      <c r="P253" s="2215"/>
      <c r="Q253" s="2215"/>
      <c r="R253" s="2215"/>
      <c r="S253" s="2215"/>
      <c r="T253" s="2215"/>
      <c r="U253" s="2215"/>
      <c r="V253" s="2215"/>
      <c r="W253" s="2215"/>
      <c r="X253" s="2215"/>
      <c r="Y253" s="2215"/>
      <c r="Z253" s="2215"/>
      <c r="AA253" s="2215"/>
      <c r="AB253" s="2215"/>
      <c r="AC253" s="2215"/>
      <c r="AD253" s="2215"/>
      <c r="AE253" s="2215"/>
      <c r="AF253" s="718"/>
      <c r="AG253" s="718"/>
      <c r="AH253" s="2107"/>
      <c r="AI253" s="2107"/>
      <c r="AJ253" s="2107"/>
      <c r="AK253" s="2107"/>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5"/>
      <c r="N254" s="2065"/>
      <c r="O254" s="2065"/>
      <c r="P254" s="2065"/>
      <c r="Q254" s="2065"/>
      <c r="R254" s="2065"/>
      <c r="S254" s="7" t="s">
        <v>211</v>
      </c>
      <c r="T254" s="7"/>
      <c r="U254" s="2032"/>
      <c r="V254" s="2032"/>
      <c r="W254" s="2032"/>
      <c r="X254" s="7" t="s">
        <v>94</v>
      </c>
      <c r="Z254" s="2065"/>
      <c r="AA254" s="2065"/>
      <c r="AB254" s="2065"/>
      <c r="AC254" s="2065"/>
      <c r="AD254" s="2065"/>
      <c r="AE254" s="2065"/>
    </row>
    <row r="255" spans="1:72" ht="12.5">
      <c r="A255" s="29"/>
      <c r="B255" s="7"/>
      <c r="C255" s="7"/>
      <c r="D255" s="60" t="s">
        <v>95</v>
      </c>
      <c r="E255" s="7"/>
      <c r="F255" s="7"/>
      <c r="M255" s="2207"/>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4" t="s">
        <v>315</v>
      </c>
      <c r="N256" s="2044"/>
      <c r="O256" s="2044"/>
      <c r="P256" s="2044"/>
      <c r="Q256" s="2044"/>
      <c r="R256" s="2044"/>
      <c r="S256" s="2044"/>
      <c r="T256" s="2044"/>
      <c r="U256" s="387" t="s">
        <v>974</v>
      </c>
      <c r="V256" s="325"/>
      <c r="W256" s="325"/>
      <c r="X256" s="325"/>
      <c r="Y256" s="325"/>
      <c r="Z256" s="325"/>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3"/>
      <c r="N258" s="2223"/>
      <c r="O258" s="2223"/>
      <c r="P258" s="2223"/>
      <c r="Q258" s="2223"/>
      <c r="R258" s="2223"/>
      <c r="S258" s="2223"/>
      <c r="T258" s="2223"/>
      <c r="U258" s="2223"/>
      <c r="V258" s="2223"/>
      <c r="W258" s="2223"/>
      <c r="X258" s="2223"/>
      <c r="Y258" s="2223"/>
      <c r="Z258" s="2223"/>
      <c r="AA258" s="2223"/>
      <c r="AB258" s="2223"/>
      <c r="AC258" s="2223"/>
      <c r="AD258" s="2223"/>
      <c r="AE258" s="2223"/>
      <c r="AF258" s="2223" t="s">
        <v>315</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5"/>
      <c r="N260" s="2215"/>
      <c r="O260" s="2215"/>
      <c r="P260" s="2215"/>
      <c r="Q260" s="2215"/>
      <c r="R260" s="2215"/>
      <c r="S260" s="2215"/>
      <c r="T260" s="2215"/>
      <c r="V260" s="59" t="s">
        <v>91</v>
      </c>
      <c r="W260" s="2032"/>
      <c r="X260" s="2032"/>
      <c r="Y260" s="57" t="s">
        <v>617</v>
      </c>
      <c r="AC260" s="2215"/>
      <c r="AD260" s="2215"/>
      <c r="AE260" s="2215"/>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18"/>
      <c r="AG261" s="718"/>
      <c r="AH261" s="2107"/>
      <c r="AI261" s="2107"/>
      <c r="AJ261" s="2107"/>
      <c r="AK261" s="210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5"/>
      <c r="N262" s="2065"/>
      <c r="O262" s="2065"/>
      <c r="P262" s="2065"/>
      <c r="Q262" s="2065"/>
      <c r="R262" s="2065"/>
      <c r="S262" s="7" t="s">
        <v>211</v>
      </c>
      <c r="T262" s="7"/>
      <c r="U262" s="2032"/>
      <c r="V262" s="2032"/>
      <c r="W262" s="2032"/>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4" t="s">
        <v>315</v>
      </c>
      <c r="N264" s="2044"/>
      <c r="O264" s="2044"/>
      <c r="P264" s="2044"/>
      <c r="Q264" s="2044"/>
      <c r="R264" s="2044"/>
      <c r="S264" s="2044"/>
      <c r="T264" s="2044"/>
      <c r="U264" s="387" t="s">
        <v>974</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52" t="str">
        <f>BO245</f>
        <v>Nonprofit</v>
      </c>
      <c r="U266" s="2252"/>
      <c r="V266" s="2252"/>
      <c r="W266" s="2252"/>
      <c r="X266" s="2252"/>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215" t="s">
        <v>285</v>
      </c>
      <c r="E269" s="2215"/>
      <c r="F269" s="2215"/>
      <c r="G269" s="2215"/>
      <c r="H269" s="2215"/>
      <c r="J269" s="12" t="s">
        <v>284</v>
      </c>
      <c r="X269" s="2225"/>
      <c r="Y269" s="2225"/>
      <c r="Z269" s="2225"/>
      <c r="AA269" s="2225"/>
      <c r="AB269" s="2225"/>
      <c r="AC269" s="2225"/>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222" t="s">
        <v>2536</v>
      </c>
      <c r="M273" s="2223"/>
      <c r="N273" s="2223"/>
      <c r="O273" s="2223"/>
      <c r="P273" s="2223"/>
      <c r="Q273" s="2223"/>
      <c r="R273" s="2223"/>
      <c r="S273" s="2223"/>
      <c r="T273" s="2223"/>
      <c r="U273" s="2223"/>
      <c r="V273" s="2223"/>
      <c r="W273" s="2223"/>
      <c r="X273" s="2223"/>
      <c r="Y273" s="2223"/>
      <c r="Z273" s="2223"/>
      <c r="AA273" s="2223"/>
      <c r="AB273" s="2223"/>
      <c r="AC273" s="2223"/>
      <c r="AD273" s="2223"/>
      <c r="AE273" s="2223"/>
      <c r="AF273" s="2223"/>
      <c r="AG273" s="2223"/>
      <c r="AH273" s="2223"/>
      <c r="AI273" s="2223"/>
      <c r="AJ273" s="222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1" t="s">
        <v>2531</v>
      </c>
      <c r="M274" s="2215"/>
      <c r="N274" s="2215"/>
      <c r="O274" s="2215"/>
      <c r="P274" s="2215"/>
      <c r="Q274" s="2215"/>
      <c r="R274" s="2215"/>
      <c r="S274" s="2215"/>
      <c r="T274" s="2215"/>
      <c r="U274" s="2215"/>
      <c r="V274" s="2215"/>
      <c r="W274" s="2215"/>
      <c r="X274" s="2215"/>
      <c r="Y274" s="2215"/>
      <c r="Z274" s="2215"/>
      <c r="AA274" s="2215"/>
      <c r="AB274" s="2215"/>
      <c r="AC274" s="2215"/>
      <c r="AD274" s="2215"/>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41" t="s">
        <v>526</v>
      </c>
      <c r="M275" s="2215"/>
      <c r="N275" s="2215"/>
      <c r="O275" s="2215"/>
      <c r="P275" s="2215"/>
      <c r="Q275" s="2215"/>
      <c r="R275" s="2215"/>
      <c r="S275" s="2215"/>
      <c r="U275" s="59" t="s">
        <v>91</v>
      </c>
      <c r="V275" s="2134" t="s">
        <v>2532</v>
      </c>
      <c r="W275" s="2032"/>
      <c r="X275" s="57" t="s">
        <v>617</v>
      </c>
      <c r="AB275" s="2215">
        <v>90015</v>
      </c>
      <c r="AC275" s="2215"/>
      <c r="AD275" s="22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2519</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16">
        <v>2132252812</v>
      </c>
      <c r="M277" s="2216"/>
      <c r="N277" s="2216"/>
      <c r="O277" s="2216"/>
      <c r="P277" s="2216"/>
      <c r="Q277" s="2216"/>
      <c r="R277" s="7" t="s">
        <v>211</v>
      </c>
      <c r="S277" s="7"/>
      <c r="T277" s="2032"/>
      <c r="U277" s="2032"/>
      <c r="V277" s="2032"/>
      <c r="W277" s="7" t="s">
        <v>94</v>
      </c>
      <c r="Y277" s="2218" t="s">
        <v>2544</v>
      </c>
      <c r="Z277" s="2218"/>
      <c r="AA277" s="2218"/>
      <c r="AB277" s="2218"/>
      <c r="AC277" s="2218"/>
      <c r="AD277" s="2218"/>
      <c r="BN277" s="61"/>
    </row>
    <row r="278" spans="1:66" ht="12.5">
      <c r="D278" s="60" t="s">
        <v>95</v>
      </c>
      <c r="E278" s="7"/>
      <c r="F278" s="7"/>
      <c r="L278" s="2207" t="s">
        <v>2535</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2.5">
      <c r="D279" s="58" t="s">
        <v>657</v>
      </c>
      <c r="E279" s="58"/>
      <c r="F279" s="58"/>
      <c r="G279" s="58"/>
      <c r="H279" s="58"/>
      <c r="I279" s="58"/>
      <c r="L279" s="2134" t="s">
        <v>2539</v>
      </c>
      <c r="M279" s="2134"/>
      <c r="N279" s="2134"/>
      <c r="O279" s="2134"/>
      <c r="P279" s="2134"/>
      <c r="Q279" s="2134"/>
      <c r="R279" s="2134"/>
      <c r="S279" s="2134"/>
      <c r="T279" s="2134"/>
      <c r="U279" s="2134"/>
      <c r="V279" s="2134"/>
      <c r="W279" s="2134"/>
      <c r="X279" s="2134"/>
      <c r="Y279" s="2134"/>
      <c r="Z279" s="2134"/>
      <c r="AA279" s="2134"/>
      <c r="AB279" s="2134"/>
      <c r="AC279" s="2134"/>
      <c r="AD279" s="2134"/>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85" t="s">
        <v>573</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3.5"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226" t="s">
        <v>2540</v>
      </c>
      <c r="I286" s="2217"/>
      <c r="J286" s="2217"/>
      <c r="K286" s="2217"/>
      <c r="L286" s="2217"/>
      <c r="M286" s="2217"/>
      <c r="N286" s="2217"/>
      <c r="O286" s="2217"/>
      <c r="P286" s="2217"/>
      <c r="Q286" s="2217"/>
      <c r="R286" s="2217"/>
      <c r="T286" s="58" t="s">
        <v>599</v>
      </c>
      <c r="V286" s="58"/>
      <c r="W286" s="58"/>
      <c r="X286" s="58"/>
      <c r="Y286" s="58"/>
      <c r="AA286" s="2226" t="s">
        <v>2540</v>
      </c>
      <c r="AB286" s="2217"/>
      <c r="AC286" s="2217"/>
      <c r="AD286" s="2217"/>
      <c r="AE286" s="2217"/>
      <c r="AF286" s="2217"/>
      <c r="AG286" s="2217"/>
      <c r="AH286" s="2217"/>
      <c r="AI286" s="2217"/>
      <c r="AJ286" s="2217"/>
      <c r="AK286" s="2217"/>
      <c r="BN286" s="61"/>
    </row>
    <row r="287" spans="1:66" ht="12.5">
      <c r="B287" s="58" t="s">
        <v>503</v>
      </c>
      <c r="C287" s="58"/>
      <c r="D287" s="58"/>
      <c r="E287" s="58"/>
      <c r="F287" s="58"/>
      <c r="H287" s="2044" t="s">
        <v>2541</v>
      </c>
      <c r="I287" s="2044"/>
      <c r="J287" s="2044"/>
      <c r="K287" s="2044"/>
      <c r="L287" s="2044"/>
      <c r="M287" s="2044"/>
      <c r="N287" s="2044"/>
      <c r="O287" s="2044"/>
      <c r="P287" s="2044"/>
      <c r="Q287" s="2044"/>
      <c r="R287" s="2044"/>
      <c r="T287" s="58" t="s">
        <v>503</v>
      </c>
      <c r="V287" s="58"/>
      <c r="W287" s="58"/>
      <c r="X287" s="58"/>
      <c r="Y287" s="58"/>
      <c r="AA287" s="2044" t="s">
        <v>2541</v>
      </c>
      <c r="AB287" s="2044"/>
      <c r="AC287" s="2044"/>
      <c r="AD287" s="2044"/>
      <c r="AE287" s="2044"/>
      <c r="AF287" s="2044"/>
      <c r="AG287" s="2044"/>
      <c r="AH287" s="2044"/>
      <c r="AI287" s="2044"/>
      <c r="AJ287" s="2044"/>
      <c r="AK287" s="2044"/>
      <c r="BN287" s="61"/>
    </row>
    <row r="288" spans="1:66" ht="12.5">
      <c r="B288" s="58" t="s">
        <v>504</v>
      </c>
      <c r="C288" s="58"/>
      <c r="D288" s="58"/>
      <c r="E288" s="58"/>
      <c r="F288" s="58"/>
      <c r="H288" s="2134" t="s">
        <v>2542</v>
      </c>
      <c r="I288" s="2044"/>
      <c r="J288" s="2044"/>
      <c r="K288" s="2044"/>
      <c r="L288" s="2044"/>
      <c r="M288" s="2044"/>
      <c r="N288" s="2044"/>
      <c r="O288" s="2044"/>
      <c r="P288" s="2044"/>
      <c r="Q288" s="2044"/>
      <c r="R288" s="2044"/>
      <c r="T288" s="58" t="s">
        <v>79</v>
      </c>
      <c r="V288" s="58"/>
      <c r="W288" s="58"/>
      <c r="X288" s="58"/>
      <c r="Y288" s="58"/>
      <c r="AA288" s="2134" t="s">
        <v>2542</v>
      </c>
      <c r="AB288" s="2044"/>
      <c r="AC288" s="2044"/>
      <c r="AD288" s="2044"/>
      <c r="AE288" s="2044"/>
      <c r="AF288" s="2044"/>
      <c r="AG288" s="2044"/>
      <c r="AH288" s="2044"/>
      <c r="AI288" s="2044"/>
      <c r="AJ288" s="2044"/>
      <c r="AK288" s="2044"/>
      <c r="BN288" s="61"/>
    </row>
    <row r="289" spans="2:66" ht="12.75" customHeight="1">
      <c r="B289" s="58" t="s">
        <v>92</v>
      </c>
      <c r="C289" s="58"/>
      <c r="D289" s="58"/>
      <c r="E289" s="58"/>
      <c r="F289" s="58"/>
      <c r="H289" s="2134" t="s">
        <v>2519</v>
      </c>
      <c r="I289" s="2044"/>
      <c r="J289" s="2044"/>
      <c r="K289" s="2044"/>
      <c r="L289" s="2044"/>
      <c r="M289" s="2044"/>
      <c r="N289" s="2044"/>
      <c r="O289" s="2044"/>
      <c r="P289" s="2044"/>
      <c r="Q289" s="2044"/>
      <c r="R289" s="2044"/>
      <c r="T289" s="58" t="s">
        <v>92</v>
      </c>
      <c r="V289" s="58"/>
      <c r="W289" s="58"/>
      <c r="X289" s="58"/>
      <c r="Y289" s="58"/>
      <c r="AA289" s="2134" t="s">
        <v>2543</v>
      </c>
      <c r="AB289" s="2044"/>
      <c r="AC289" s="2044"/>
      <c r="AD289" s="2044"/>
      <c r="AE289" s="2044"/>
      <c r="AF289" s="2044"/>
      <c r="AG289" s="2044"/>
      <c r="AH289" s="2044"/>
      <c r="AI289" s="2044"/>
      <c r="AJ289" s="2044"/>
      <c r="AK289" s="2044"/>
      <c r="BN289" s="61"/>
    </row>
    <row r="290" spans="2:66" ht="12.75" customHeight="1">
      <c r="B290" s="58" t="s">
        <v>93</v>
      </c>
      <c r="C290" s="58"/>
      <c r="D290" s="58"/>
      <c r="E290" s="58"/>
      <c r="F290" s="58"/>
      <c r="G290" s="58"/>
      <c r="H290" s="2216">
        <v>2132252812</v>
      </c>
      <c r="I290" s="2216"/>
      <c r="J290" s="2216"/>
      <c r="K290" s="2216"/>
      <c r="L290" s="2216"/>
      <c r="M290" s="2216"/>
      <c r="N290" s="7" t="s">
        <v>211</v>
      </c>
      <c r="O290" s="7"/>
      <c r="P290" s="2215"/>
      <c r="Q290" s="2215"/>
      <c r="R290" s="2215"/>
      <c r="S290" s="58"/>
      <c r="T290" s="58" t="s">
        <v>93</v>
      </c>
      <c r="V290" s="58"/>
      <c r="W290" s="58"/>
      <c r="X290" s="58"/>
      <c r="Y290" s="58"/>
      <c r="AA290" s="2216">
        <v>2132252714</v>
      </c>
      <c r="AB290" s="2216"/>
      <c r="AC290" s="2216"/>
      <c r="AD290" s="2216"/>
      <c r="AE290" s="2216"/>
      <c r="AF290" s="2216"/>
      <c r="AG290" s="7" t="s">
        <v>211</v>
      </c>
      <c r="AH290" s="7"/>
      <c r="AI290" s="2215"/>
      <c r="AJ290" s="2215"/>
      <c r="AK290" s="2215"/>
      <c r="BN290" s="61"/>
    </row>
    <row r="291" spans="2:66" ht="12.75" customHeight="1">
      <c r="B291" s="58" t="s">
        <v>94</v>
      </c>
      <c r="C291" s="58"/>
      <c r="D291" s="58"/>
      <c r="E291" s="58"/>
      <c r="F291" s="58"/>
      <c r="G291" s="58"/>
      <c r="H291" s="2218" t="s">
        <v>2544</v>
      </c>
      <c r="I291" s="2218"/>
      <c r="J291" s="2218"/>
      <c r="K291" s="2218"/>
      <c r="L291" s="2218"/>
      <c r="M291" s="2218"/>
      <c r="N291" s="60"/>
      <c r="O291" s="60"/>
      <c r="P291" s="62"/>
      <c r="Q291" s="62"/>
      <c r="R291" s="62"/>
      <c r="S291" s="58"/>
      <c r="T291" s="58" t="s">
        <v>94</v>
      </c>
      <c r="V291" s="58"/>
      <c r="W291" s="58"/>
      <c r="X291" s="58"/>
      <c r="Y291" s="58"/>
      <c r="AA291" s="2218" t="s">
        <v>2544</v>
      </c>
      <c r="AB291" s="2218"/>
      <c r="AC291" s="2218"/>
      <c r="AD291" s="2218"/>
      <c r="AE291" s="2218"/>
      <c r="AF291" s="2218"/>
      <c r="AG291" s="60"/>
      <c r="AH291" s="60"/>
      <c r="AI291" s="62"/>
      <c r="AJ291" s="62"/>
      <c r="AK291" s="62"/>
      <c r="BN291" s="61"/>
    </row>
    <row r="292" spans="2:66" ht="12.75" customHeight="1">
      <c r="B292" s="58" t="s">
        <v>80</v>
      </c>
      <c r="C292" s="58"/>
      <c r="D292" s="58"/>
      <c r="E292" s="58"/>
      <c r="F292" s="58"/>
      <c r="G292" s="58"/>
      <c r="H292" s="2134" t="s">
        <v>2535</v>
      </c>
      <c r="I292" s="2044"/>
      <c r="J292" s="2044"/>
      <c r="K292" s="2044"/>
      <c r="L292" s="2044"/>
      <c r="M292" s="2044"/>
      <c r="N292" s="2217"/>
      <c r="O292" s="2217"/>
      <c r="P292" s="2217"/>
      <c r="Q292" s="2217"/>
      <c r="R292" s="2217"/>
      <c r="S292" s="58"/>
      <c r="T292" s="58" t="s">
        <v>80</v>
      </c>
      <c r="V292" s="58"/>
      <c r="W292" s="58"/>
      <c r="X292" s="58"/>
      <c r="Y292" s="58"/>
      <c r="AA292" s="2134" t="s">
        <v>2545</v>
      </c>
      <c r="AB292" s="2044"/>
      <c r="AC292" s="2044"/>
      <c r="AD292" s="2044"/>
      <c r="AE292" s="2044"/>
      <c r="AF292" s="2044"/>
      <c r="AG292" s="2217"/>
      <c r="AH292" s="2217"/>
      <c r="AI292" s="2217"/>
      <c r="AJ292" s="2217"/>
      <c r="AK292" s="2217"/>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226" t="s">
        <v>2546</v>
      </c>
      <c r="I294" s="2217"/>
      <c r="J294" s="2217"/>
      <c r="K294" s="2217"/>
      <c r="L294" s="2217"/>
      <c r="M294" s="2217"/>
      <c r="N294" s="2217"/>
      <c r="O294" s="2217"/>
      <c r="P294" s="2217"/>
      <c r="Q294" s="2217"/>
      <c r="R294" s="2217"/>
      <c r="T294" s="58" t="s">
        <v>373</v>
      </c>
      <c r="V294" s="58"/>
      <c r="W294" s="58"/>
      <c r="X294" s="58"/>
      <c r="Y294" s="58"/>
      <c r="AA294" s="2042" t="s">
        <v>2549</v>
      </c>
      <c r="AB294" s="2042"/>
      <c r="AC294" s="2042"/>
      <c r="AD294" s="2042"/>
      <c r="AE294" s="2042"/>
      <c r="AF294" s="2042"/>
      <c r="AG294" s="2042"/>
      <c r="AH294" s="2042"/>
      <c r="AI294" s="2042"/>
      <c r="AJ294" s="2042"/>
      <c r="AK294" s="2042"/>
      <c r="BN294" s="61"/>
    </row>
    <row r="295" spans="2:66" ht="12.5">
      <c r="B295" s="58" t="s">
        <v>503</v>
      </c>
      <c r="C295" s="58"/>
      <c r="D295" s="58"/>
      <c r="E295" s="58"/>
      <c r="F295" s="58"/>
      <c r="H295" s="2134" t="s">
        <v>2553</v>
      </c>
      <c r="I295" s="2044"/>
      <c r="J295" s="2044"/>
      <c r="K295" s="2044"/>
      <c r="L295" s="2044"/>
      <c r="M295" s="2044"/>
      <c r="N295" s="2044"/>
      <c r="O295" s="2044"/>
      <c r="P295" s="2044"/>
      <c r="Q295" s="2044"/>
      <c r="R295" s="2044"/>
      <c r="T295" s="58" t="s">
        <v>503</v>
      </c>
      <c r="V295" s="58"/>
      <c r="W295" s="58"/>
      <c r="X295" s="58"/>
      <c r="Y295" s="58"/>
      <c r="AA295" s="2044"/>
      <c r="AB295" s="2044"/>
      <c r="AC295" s="2044"/>
      <c r="AD295" s="2044"/>
      <c r="AE295" s="2044"/>
      <c r="AF295" s="2044"/>
      <c r="AG295" s="2044"/>
      <c r="AH295" s="2044"/>
      <c r="AI295" s="2044"/>
      <c r="AJ295" s="2044"/>
      <c r="AK295" s="2044"/>
      <c r="BN295" s="61"/>
    </row>
    <row r="296" spans="2:66" ht="12.5">
      <c r="B296" s="58" t="s">
        <v>504</v>
      </c>
      <c r="C296" s="58"/>
      <c r="D296" s="58"/>
      <c r="E296" s="58"/>
      <c r="F296" s="58"/>
      <c r="H296" s="2134" t="s">
        <v>2547</v>
      </c>
      <c r="I296" s="2044"/>
      <c r="J296" s="2044"/>
      <c r="K296" s="2044"/>
      <c r="L296" s="2044"/>
      <c r="M296" s="2044"/>
      <c r="N296" s="2044"/>
      <c r="O296" s="2044"/>
      <c r="P296" s="2044"/>
      <c r="Q296" s="2044"/>
      <c r="R296" s="2044"/>
      <c r="T296" s="58" t="s">
        <v>79</v>
      </c>
      <c r="V296" s="58"/>
      <c r="W296" s="58"/>
      <c r="X296" s="58"/>
      <c r="Y296" s="58"/>
      <c r="AA296" s="2044"/>
      <c r="AB296" s="2044"/>
      <c r="AC296" s="2044"/>
      <c r="AD296" s="2044"/>
      <c r="AE296" s="2044"/>
      <c r="AF296" s="2044"/>
      <c r="AG296" s="2044"/>
      <c r="AH296" s="2044"/>
      <c r="AI296" s="2044"/>
      <c r="AJ296" s="2044"/>
      <c r="AK296" s="2044"/>
      <c r="BN296" s="61"/>
    </row>
    <row r="297" spans="2:66" ht="12.5">
      <c r="B297" s="58" t="s">
        <v>92</v>
      </c>
      <c r="C297" s="58"/>
      <c r="D297" s="58"/>
      <c r="E297" s="58"/>
      <c r="F297" s="58"/>
      <c r="H297" s="2134" t="s">
        <v>2548</v>
      </c>
      <c r="I297" s="2044"/>
      <c r="J297" s="2044"/>
      <c r="K297" s="2044"/>
      <c r="L297" s="2044"/>
      <c r="M297" s="2044"/>
      <c r="N297" s="2044"/>
      <c r="O297" s="2044"/>
      <c r="P297" s="2044"/>
      <c r="Q297" s="2044"/>
      <c r="R297" s="2044"/>
      <c r="T297" s="58" t="s">
        <v>92</v>
      </c>
      <c r="V297" s="58"/>
      <c r="W297" s="58"/>
      <c r="X297" s="58"/>
      <c r="Y297" s="58"/>
      <c r="AA297" s="2044"/>
      <c r="AB297" s="2044"/>
      <c r="AC297" s="2044"/>
      <c r="AD297" s="2044"/>
      <c r="AE297" s="2044"/>
      <c r="AF297" s="2044"/>
      <c r="AG297" s="2044"/>
      <c r="AH297" s="2044"/>
      <c r="AI297" s="2044"/>
      <c r="AJ297" s="2044"/>
      <c r="AK297" s="2044"/>
      <c r="BN297" s="61"/>
    </row>
    <row r="298" spans="2:66" ht="12.5">
      <c r="B298" s="58" t="s">
        <v>93</v>
      </c>
      <c r="C298" s="58"/>
      <c r="D298" s="58"/>
      <c r="E298" s="58"/>
      <c r="F298" s="58"/>
      <c r="G298" s="58"/>
      <c r="H298" s="2216" t="s">
        <v>2554</v>
      </c>
      <c r="I298" s="2216"/>
      <c r="J298" s="2216"/>
      <c r="K298" s="2216"/>
      <c r="L298" s="2216"/>
      <c r="M298" s="2216"/>
      <c r="N298" s="7" t="s">
        <v>211</v>
      </c>
      <c r="O298" s="7"/>
      <c r="P298" s="2215"/>
      <c r="Q298" s="2215"/>
      <c r="R298" s="2215"/>
      <c r="S298" s="58"/>
      <c r="T298" s="58" t="s">
        <v>93</v>
      </c>
      <c r="V298" s="58"/>
      <c r="W298" s="58"/>
      <c r="X298" s="58"/>
      <c r="Y298" s="58"/>
      <c r="AA298" s="2194"/>
      <c r="AB298" s="2194"/>
      <c r="AC298" s="2194"/>
      <c r="AD298" s="2194"/>
      <c r="AE298" s="2194"/>
      <c r="AF298" s="2194"/>
      <c r="AG298" s="7" t="s">
        <v>211</v>
      </c>
      <c r="AH298" s="7"/>
      <c r="AI298" s="2215"/>
      <c r="AJ298" s="2215"/>
      <c r="AK298" s="2215"/>
      <c r="BN298" s="61"/>
    </row>
    <row r="299" spans="2:66" ht="12.75" customHeight="1">
      <c r="B299" s="58" t="s">
        <v>94</v>
      </c>
      <c r="C299" s="58"/>
      <c r="D299" s="58"/>
      <c r="E299" s="58"/>
      <c r="F299" s="58"/>
      <c r="G299" s="58"/>
      <c r="H299" s="2186" t="s">
        <v>2555</v>
      </c>
      <c r="I299" s="2186"/>
      <c r="J299" s="2186"/>
      <c r="K299" s="2186"/>
      <c r="L299" s="2186"/>
      <c r="M299" s="2186"/>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134" t="s">
        <v>2550</v>
      </c>
      <c r="I300" s="2044"/>
      <c r="J300" s="2044"/>
      <c r="K300" s="2044"/>
      <c r="L300" s="2044"/>
      <c r="M300" s="2044"/>
      <c r="N300" s="2217"/>
      <c r="O300" s="2217"/>
      <c r="P300" s="2217"/>
      <c r="Q300" s="2217"/>
      <c r="R300" s="2217"/>
      <c r="S300" s="58"/>
      <c r="T300" s="58" t="s">
        <v>80</v>
      </c>
      <c r="V300" s="58"/>
      <c r="W300" s="58"/>
      <c r="X300" s="58"/>
      <c r="Y300" s="58"/>
      <c r="AA300" s="2044"/>
      <c r="AB300" s="2044"/>
      <c r="AC300" s="2044"/>
      <c r="AD300" s="2044"/>
      <c r="AE300" s="2044"/>
      <c r="AF300" s="2044"/>
      <c r="AG300" s="2042"/>
      <c r="AH300" s="2042"/>
      <c r="AI300" s="2042"/>
      <c r="AJ300" s="2042"/>
      <c r="AK300" s="2042"/>
      <c r="BN300" s="61"/>
    </row>
    <row r="301" spans="2:66" ht="12.75" customHeight="1">
      <c r="BN301" s="61"/>
    </row>
    <row r="302" spans="2:66" ht="12.75" customHeight="1">
      <c r="B302" s="58" t="s">
        <v>81</v>
      </c>
      <c r="C302" s="58"/>
      <c r="D302" s="58"/>
      <c r="E302" s="58"/>
      <c r="F302" s="58"/>
      <c r="H302" s="2226" t="s">
        <v>2546</v>
      </c>
      <c r="I302" s="2217"/>
      <c r="J302" s="2217"/>
      <c r="K302" s="2217"/>
      <c r="L302" s="2217"/>
      <c r="M302" s="2217"/>
      <c r="N302" s="2217"/>
      <c r="O302" s="2217"/>
      <c r="P302" s="2217"/>
      <c r="Q302" s="2217"/>
      <c r="R302" s="2217"/>
      <c r="T302" s="7" t="s">
        <v>942</v>
      </c>
      <c r="V302" s="58"/>
      <c r="W302" s="58"/>
      <c r="X302" s="58"/>
      <c r="Y302" s="58"/>
      <c r="AA302" s="2042" t="s">
        <v>2557</v>
      </c>
      <c r="AB302" s="2042"/>
      <c r="AC302" s="2042"/>
      <c r="AD302" s="2042"/>
      <c r="AE302" s="2042"/>
      <c r="AF302" s="2042"/>
      <c r="AG302" s="2042"/>
      <c r="AH302" s="2042"/>
      <c r="AI302" s="2042"/>
      <c r="AJ302" s="2042"/>
      <c r="AK302" s="2042"/>
      <c r="BN302" s="61"/>
    </row>
    <row r="303" spans="2:66" ht="12.5">
      <c r="B303" s="58" t="s">
        <v>503</v>
      </c>
      <c r="C303" s="58"/>
      <c r="D303" s="58"/>
      <c r="E303" s="58"/>
      <c r="F303" s="58"/>
      <c r="H303" s="2134" t="s">
        <v>2553</v>
      </c>
      <c r="I303" s="2044"/>
      <c r="J303" s="2044"/>
      <c r="K303" s="2044"/>
      <c r="L303" s="2044"/>
      <c r="M303" s="2044"/>
      <c r="N303" s="2044"/>
      <c r="O303" s="2044"/>
      <c r="P303" s="2044"/>
      <c r="Q303" s="2044"/>
      <c r="R303" s="2044"/>
      <c r="T303" s="58" t="s">
        <v>503</v>
      </c>
      <c r="V303" s="58"/>
      <c r="W303" s="58"/>
      <c r="X303" s="58"/>
      <c r="Y303" s="58"/>
      <c r="AA303" s="2044" t="s">
        <v>2558</v>
      </c>
      <c r="AB303" s="2044"/>
      <c r="AC303" s="2044"/>
      <c r="AD303" s="2044"/>
      <c r="AE303" s="2044"/>
      <c r="AF303" s="2044"/>
      <c r="AG303" s="2044"/>
      <c r="AH303" s="2044"/>
      <c r="AI303" s="2044"/>
      <c r="AJ303" s="2044"/>
      <c r="AK303" s="2044"/>
      <c r="BN303" s="61"/>
    </row>
    <row r="304" spans="2:66" ht="12.5">
      <c r="B304" s="58" t="s">
        <v>504</v>
      </c>
      <c r="C304" s="58"/>
      <c r="D304" s="58"/>
      <c r="E304" s="58"/>
      <c r="F304" s="58"/>
      <c r="H304" s="2134" t="s">
        <v>2547</v>
      </c>
      <c r="I304" s="2044"/>
      <c r="J304" s="2044"/>
      <c r="K304" s="2044"/>
      <c r="L304" s="2044"/>
      <c r="M304" s="2044"/>
      <c r="N304" s="2044"/>
      <c r="O304" s="2044"/>
      <c r="P304" s="2044"/>
      <c r="Q304" s="2044"/>
      <c r="R304" s="2044"/>
      <c r="T304" s="58" t="s">
        <v>79</v>
      </c>
      <c r="V304" s="58"/>
      <c r="W304" s="58"/>
      <c r="X304" s="58"/>
      <c r="Y304" s="58"/>
      <c r="AA304" s="2044" t="s">
        <v>2559</v>
      </c>
      <c r="AB304" s="2044"/>
      <c r="AC304" s="2044"/>
      <c r="AD304" s="2044"/>
      <c r="AE304" s="2044"/>
      <c r="AF304" s="2044"/>
      <c r="AG304" s="2044"/>
      <c r="AH304" s="2044"/>
      <c r="AI304" s="2044"/>
      <c r="AJ304" s="2044"/>
      <c r="AK304" s="2044"/>
      <c r="BN304" s="61"/>
    </row>
    <row r="305" spans="2:66" ht="12.5">
      <c r="B305" s="58" t="s">
        <v>92</v>
      </c>
      <c r="C305" s="58"/>
      <c r="D305" s="58"/>
      <c r="E305" s="58"/>
      <c r="F305" s="58"/>
      <c r="H305" s="2134" t="s">
        <v>2551</v>
      </c>
      <c r="I305" s="2044"/>
      <c r="J305" s="2044"/>
      <c r="K305" s="2044"/>
      <c r="L305" s="2044"/>
      <c r="M305" s="2044"/>
      <c r="N305" s="2044"/>
      <c r="O305" s="2044"/>
      <c r="P305" s="2044"/>
      <c r="Q305" s="2044"/>
      <c r="R305" s="2044"/>
      <c r="T305" s="58" t="s">
        <v>92</v>
      </c>
      <c r="V305" s="58"/>
      <c r="W305" s="58"/>
      <c r="X305" s="58"/>
      <c r="Y305" s="58"/>
      <c r="AA305" s="2044" t="s">
        <v>2560</v>
      </c>
      <c r="AB305" s="2044"/>
      <c r="AC305" s="2044"/>
      <c r="AD305" s="2044"/>
      <c r="AE305" s="2044"/>
      <c r="AF305" s="2044"/>
      <c r="AG305" s="2044"/>
      <c r="AH305" s="2044"/>
      <c r="AI305" s="2044"/>
      <c r="AJ305" s="2044"/>
      <c r="AK305" s="2044"/>
      <c r="BN305" s="61"/>
    </row>
    <row r="306" spans="2:66" ht="12.5">
      <c r="B306" s="58" t="s">
        <v>93</v>
      </c>
      <c r="C306" s="58"/>
      <c r="D306" s="58"/>
      <c r="E306" s="58"/>
      <c r="F306" s="58"/>
      <c r="G306" s="58"/>
      <c r="H306" s="2216" t="s">
        <v>2552</v>
      </c>
      <c r="I306" s="2216"/>
      <c r="J306" s="2216"/>
      <c r="K306" s="2216"/>
      <c r="L306" s="2216"/>
      <c r="M306" s="2216"/>
      <c r="N306" s="7" t="s">
        <v>211</v>
      </c>
      <c r="O306" s="7"/>
      <c r="P306" s="2215"/>
      <c r="Q306" s="2215"/>
      <c r="R306" s="2215"/>
      <c r="S306" s="58"/>
      <c r="T306" s="58" t="s">
        <v>93</v>
      </c>
      <c r="V306" s="58"/>
      <c r="W306" s="58"/>
      <c r="X306" s="58"/>
      <c r="Y306" s="58"/>
      <c r="AA306" s="2221" t="s">
        <v>2561</v>
      </c>
      <c r="AB306" s="2194"/>
      <c r="AC306" s="2194"/>
      <c r="AD306" s="2194"/>
      <c r="AE306" s="2194"/>
      <c r="AF306" s="2194"/>
      <c r="AG306" s="7" t="s">
        <v>211</v>
      </c>
      <c r="AH306" s="7"/>
      <c r="AI306" s="2215"/>
      <c r="AJ306" s="2215"/>
      <c r="AK306" s="2215"/>
      <c r="BN306" s="61"/>
    </row>
    <row r="307" spans="2:66" ht="12.5">
      <c r="B307" s="58" t="s">
        <v>94</v>
      </c>
      <c r="C307" s="58"/>
      <c r="D307" s="58"/>
      <c r="E307" s="58"/>
      <c r="F307" s="58"/>
      <c r="G307" s="58"/>
      <c r="H307" s="2186" t="s">
        <v>2563</v>
      </c>
      <c r="I307" s="2186"/>
      <c r="J307" s="2186"/>
      <c r="K307" s="2186"/>
      <c r="L307" s="2186"/>
      <c r="M307" s="2186"/>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2.5">
      <c r="B308" s="58" t="s">
        <v>80</v>
      </c>
      <c r="C308" s="58"/>
      <c r="D308" s="58"/>
      <c r="E308" s="58"/>
      <c r="F308" s="58"/>
      <c r="G308" s="58"/>
      <c r="H308" s="2044" t="s">
        <v>2556</v>
      </c>
      <c r="I308" s="2044"/>
      <c r="J308" s="2044"/>
      <c r="K308" s="2044"/>
      <c r="L308" s="2044"/>
      <c r="M308" s="2044"/>
      <c r="N308" s="2042"/>
      <c r="O308" s="2042"/>
      <c r="P308" s="2042"/>
      <c r="Q308" s="2042"/>
      <c r="R308" s="2042"/>
      <c r="S308" s="58"/>
      <c r="T308" s="58" t="s">
        <v>80</v>
      </c>
      <c r="V308" s="58"/>
      <c r="W308" s="58"/>
      <c r="X308" s="58"/>
      <c r="Y308" s="58"/>
      <c r="AA308" s="2044" t="s">
        <v>2562</v>
      </c>
      <c r="AB308" s="2044"/>
      <c r="AC308" s="2044"/>
      <c r="AD308" s="2044"/>
      <c r="AE308" s="2044"/>
      <c r="AF308" s="2044"/>
      <c r="AG308" s="2042"/>
      <c r="AH308" s="2042"/>
      <c r="AI308" s="2042"/>
      <c r="AJ308" s="2042"/>
      <c r="AK308" s="204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42" t="s">
        <v>2549</v>
      </c>
      <c r="I310" s="2042"/>
      <c r="J310" s="2042"/>
      <c r="K310" s="2042"/>
      <c r="L310" s="2042"/>
      <c r="M310" s="2042"/>
      <c r="N310" s="2042"/>
      <c r="O310" s="2042"/>
      <c r="P310" s="2042"/>
      <c r="Q310" s="2042"/>
      <c r="R310" s="2042"/>
      <c r="S310" s="58"/>
      <c r="T310" s="58" t="s">
        <v>374</v>
      </c>
      <c r="V310" s="58"/>
      <c r="W310" s="58"/>
      <c r="X310" s="58"/>
      <c r="Y310" s="58"/>
      <c r="AA310" s="2042" t="s">
        <v>2549</v>
      </c>
      <c r="AB310" s="2042"/>
      <c r="AC310" s="2042"/>
      <c r="AD310" s="2042"/>
      <c r="AE310" s="2042"/>
      <c r="AF310" s="2042"/>
      <c r="AG310" s="2042"/>
      <c r="AH310" s="2042"/>
      <c r="AI310" s="2042"/>
      <c r="AJ310" s="2042"/>
      <c r="AK310" s="2042"/>
      <c r="BN310" s="61"/>
    </row>
    <row r="311" spans="2:66" ht="12.5">
      <c r="B311" s="58" t="s">
        <v>503</v>
      </c>
      <c r="C311" s="58"/>
      <c r="D311" s="58"/>
      <c r="E311" s="58"/>
      <c r="F311" s="58"/>
      <c r="H311" s="2044"/>
      <c r="I311" s="2044"/>
      <c r="J311" s="2044"/>
      <c r="K311" s="2044"/>
      <c r="L311" s="2044"/>
      <c r="M311" s="2044"/>
      <c r="N311" s="2044"/>
      <c r="O311" s="2044"/>
      <c r="P311" s="2044"/>
      <c r="Q311" s="2044"/>
      <c r="R311" s="2044"/>
      <c r="S311" s="58"/>
      <c r="T311" s="58" t="s">
        <v>503</v>
      </c>
      <c r="V311" s="58"/>
      <c r="W311" s="58"/>
      <c r="X311" s="58"/>
      <c r="Y311" s="58"/>
      <c r="AA311" s="2044"/>
      <c r="AB311" s="2044"/>
      <c r="AC311" s="2044"/>
      <c r="AD311" s="2044"/>
      <c r="AE311" s="2044"/>
      <c r="AF311" s="2044"/>
      <c r="AG311" s="2044"/>
      <c r="AH311" s="2044"/>
      <c r="AI311" s="2044"/>
      <c r="AJ311" s="2044"/>
      <c r="AK311" s="2044"/>
      <c r="BN311" s="61"/>
    </row>
    <row r="312" spans="2:66" ht="12.75" customHeight="1">
      <c r="B312" s="58" t="s">
        <v>504</v>
      </c>
      <c r="C312" s="58"/>
      <c r="D312" s="58"/>
      <c r="E312" s="58"/>
      <c r="F312" s="58"/>
      <c r="H312" s="2044"/>
      <c r="I312" s="2044"/>
      <c r="J312" s="2044"/>
      <c r="K312" s="2044"/>
      <c r="L312" s="2044"/>
      <c r="M312" s="2044"/>
      <c r="N312" s="2044"/>
      <c r="O312" s="2044"/>
      <c r="P312" s="2044"/>
      <c r="Q312" s="2044"/>
      <c r="R312" s="2044"/>
      <c r="S312" s="58"/>
      <c r="T312" s="58" t="s">
        <v>79</v>
      </c>
      <c r="V312" s="58"/>
      <c r="W312" s="58"/>
      <c r="X312" s="58"/>
      <c r="Y312" s="58"/>
      <c r="AA312" s="2044"/>
      <c r="AB312" s="2044"/>
      <c r="AC312" s="2044"/>
      <c r="AD312" s="2044"/>
      <c r="AE312" s="2044"/>
      <c r="AF312" s="2044"/>
      <c r="AG312" s="2044"/>
      <c r="AH312" s="2044"/>
      <c r="AI312" s="2044"/>
      <c r="AJ312" s="2044"/>
      <c r="AK312" s="2044"/>
      <c r="BN312" s="61"/>
    </row>
    <row r="313" spans="2:66" ht="12.5">
      <c r="B313" s="58" t="s">
        <v>92</v>
      </c>
      <c r="C313" s="58"/>
      <c r="D313" s="58"/>
      <c r="E313" s="58"/>
      <c r="F313" s="58"/>
      <c r="H313" s="2044"/>
      <c r="I313" s="2044"/>
      <c r="J313" s="2044"/>
      <c r="K313" s="2044"/>
      <c r="L313" s="2044"/>
      <c r="M313" s="2044"/>
      <c r="N313" s="2044"/>
      <c r="O313" s="2044"/>
      <c r="P313" s="2044"/>
      <c r="Q313" s="2044"/>
      <c r="R313" s="2044"/>
      <c r="S313" s="58"/>
      <c r="T313" s="58" t="s">
        <v>92</v>
      </c>
      <c r="V313" s="58"/>
      <c r="W313" s="58"/>
      <c r="X313" s="58"/>
      <c r="Y313" s="58"/>
      <c r="AA313" s="2044"/>
      <c r="AB313" s="2044"/>
      <c r="AC313" s="2044"/>
      <c r="AD313" s="2044"/>
      <c r="AE313" s="2044"/>
      <c r="AF313" s="2044"/>
      <c r="AG313" s="2044"/>
      <c r="AH313" s="2044"/>
      <c r="AI313" s="2044"/>
      <c r="AJ313" s="2044"/>
      <c r="AK313" s="2044"/>
      <c r="BN313" s="61"/>
    </row>
    <row r="314" spans="2:66" ht="12.5">
      <c r="B314" s="58" t="s">
        <v>93</v>
      </c>
      <c r="C314" s="58"/>
      <c r="D314" s="58"/>
      <c r="E314" s="58"/>
      <c r="F314" s="58"/>
      <c r="G314" s="58"/>
      <c r="H314" s="2194"/>
      <c r="I314" s="2194"/>
      <c r="J314" s="2194"/>
      <c r="K314" s="2194"/>
      <c r="L314" s="2194"/>
      <c r="M314" s="2194"/>
      <c r="N314" s="7" t="s">
        <v>211</v>
      </c>
      <c r="O314" s="7"/>
      <c r="P314" s="2215"/>
      <c r="Q314" s="2215"/>
      <c r="R314" s="2215"/>
      <c r="S314" s="58"/>
      <c r="T314" s="58" t="s">
        <v>93</v>
      </c>
      <c r="V314" s="58"/>
      <c r="W314" s="58"/>
      <c r="X314" s="58"/>
      <c r="Y314" s="58"/>
      <c r="AA314" s="2194"/>
      <c r="AB314" s="2194"/>
      <c r="AC314" s="2194"/>
      <c r="AD314" s="2194"/>
      <c r="AE314" s="2194"/>
      <c r="AF314" s="2194"/>
      <c r="AG314" s="7" t="s">
        <v>211</v>
      </c>
      <c r="AH314" s="7"/>
      <c r="AI314" s="2215"/>
      <c r="AJ314" s="2215"/>
      <c r="AK314" s="2215"/>
      <c r="BN314" s="61"/>
    </row>
    <row r="315" spans="2:66" ht="12.5">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2.5">
      <c r="B316" s="58" t="s">
        <v>80</v>
      </c>
      <c r="C316" s="58"/>
      <c r="D316" s="58"/>
      <c r="E316" s="58"/>
      <c r="F316" s="58"/>
      <c r="G316" s="58"/>
      <c r="H316" s="2044"/>
      <c r="I316" s="2044"/>
      <c r="J316" s="2044"/>
      <c r="K316" s="2044"/>
      <c r="L316" s="2044"/>
      <c r="M316" s="2044"/>
      <c r="N316" s="2042"/>
      <c r="O316" s="2042"/>
      <c r="P316" s="2042"/>
      <c r="Q316" s="2042"/>
      <c r="R316" s="2042"/>
      <c r="S316" s="58"/>
      <c r="T316" s="58" t="s">
        <v>80</v>
      </c>
      <c r="V316" s="58"/>
      <c r="W316" s="58"/>
      <c r="X316" s="58"/>
      <c r="Y316" s="58"/>
      <c r="AA316" s="2044"/>
      <c r="AB316" s="2044"/>
      <c r="AC316" s="2044"/>
      <c r="AD316" s="2044"/>
      <c r="AE316" s="2044"/>
      <c r="AF316" s="2044"/>
      <c r="AG316" s="2042"/>
      <c r="AH316" s="2042"/>
      <c r="AI316" s="2042"/>
      <c r="AJ316" s="2042"/>
      <c r="AK316" s="2042"/>
      <c r="BN316" s="61"/>
    </row>
    <row r="317" spans="2:66" ht="12.5">
      <c r="BN317" s="61"/>
    </row>
    <row r="318" spans="2:66" ht="12.5">
      <c r="B318" s="7" t="s">
        <v>976</v>
      </c>
      <c r="C318" s="58"/>
      <c r="D318" s="58"/>
      <c r="E318" s="58"/>
      <c r="F318" s="58"/>
      <c r="H318" s="2042" t="s">
        <v>2564</v>
      </c>
      <c r="I318" s="2042"/>
      <c r="J318" s="2042"/>
      <c r="K318" s="2042"/>
      <c r="L318" s="2042"/>
      <c r="M318" s="2042"/>
      <c r="N318" s="2042"/>
      <c r="O318" s="2042"/>
      <c r="P318" s="2042"/>
      <c r="Q318" s="2042"/>
      <c r="R318" s="2042"/>
      <c r="T318" s="58" t="s">
        <v>375</v>
      </c>
      <c r="V318" s="58"/>
      <c r="W318" s="58"/>
      <c r="X318" s="58"/>
      <c r="Y318" s="58"/>
      <c r="AA318" s="2042" t="s">
        <v>2569</v>
      </c>
      <c r="AB318" s="2042"/>
      <c r="AC318" s="2042"/>
      <c r="AD318" s="2042"/>
      <c r="AE318" s="2042"/>
      <c r="AF318" s="2042"/>
      <c r="AG318" s="2042"/>
      <c r="AH318" s="2042"/>
      <c r="AI318" s="2042"/>
      <c r="AJ318" s="2042"/>
      <c r="AK318" s="2042"/>
      <c r="BN318" s="61"/>
    </row>
    <row r="319" spans="2:66" ht="12.5">
      <c r="B319" s="58" t="s">
        <v>503</v>
      </c>
      <c r="C319" s="58"/>
      <c r="D319" s="58"/>
      <c r="E319" s="58"/>
      <c r="F319" s="58"/>
      <c r="H319" s="2044" t="s">
        <v>2565</v>
      </c>
      <c r="I319" s="2044"/>
      <c r="J319" s="2044"/>
      <c r="K319" s="2044"/>
      <c r="L319" s="2044"/>
      <c r="M319" s="2044"/>
      <c r="N319" s="2044"/>
      <c r="O319" s="2044"/>
      <c r="P319" s="2044"/>
      <c r="Q319" s="2044"/>
      <c r="R319" s="2044"/>
      <c r="T319" s="58" t="s">
        <v>503</v>
      </c>
      <c r="V319" s="58"/>
      <c r="W319" s="58"/>
      <c r="X319" s="58"/>
      <c r="Y319" s="58"/>
      <c r="AA319" s="2044" t="s">
        <v>2570</v>
      </c>
      <c r="AB319" s="2044"/>
      <c r="AC319" s="2044"/>
      <c r="AD319" s="2044"/>
      <c r="AE319" s="2044"/>
      <c r="AF319" s="2044"/>
      <c r="AG319" s="2044"/>
      <c r="AH319" s="2044"/>
      <c r="AI319" s="2044"/>
      <c r="AJ319" s="2044"/>
      <c r="AK319" s="2044"/>
      <c r="BN319" s="61"/>
    </row>
    <row r="320" spans="2:66" ht="12.5">
      <c r="B320" s="58" t="s">
        <v>504</v>
      </c>
      <c r="C320" s="58"/>
      <c r="D320" s="58"/>
      <c r="E320" s="58"/>
      <c r="F320" s="58"/>
      <c r="H320" s="2044" t="s">
        <v>2566</v>
      </c>
      <c r="I320" s="2044"/>
      <c r="J320" s="2044"/>
      <c r="K320" s="2044"/>
      <c r="L320" s="2044"/>
      <c r="M320" s="2044"/>
      <c r="N320" s="2044"/>
      <c r="O320" s="2044"/>
      <c r="P320" s="2044"/>
      <c r="Q320" s="2044"/>
      <c r="R320" s="2044"/>
      <c r="T320" s="58" t="s">
        <v>79</v>
      </c>
      <c r="V320" s="58"/>
      <c r="W320" s="58"/>
      <c r="X320" s="58"/>
      <c r="Y320" s="58"/>
      <c r="AA320" s="2044" t="s">
        <v>2571</v>
      </c>
      <c r="AB320" s="2044"/>
      <c r="AC320" s="2044"/>
      <c r="AD320" s="2044"/>
      <c r="AE320" s="2044"/>
      <c r="AF320" s="2044"/>
      <c r="AG320" s="2044"/>
      <c r="AH320" s="2044"/>
      <c r="AI320" s="2044"/>
      <c r="AJ320" s="2044"/>
      <c r="AK320" s="2044"/>
      <c r="BN320" s="61"/>
    </row>
    <row r="321" spans="1:66" ht="12.75" customHeight="1">
      <c r="A321" s="39"/>
      <c r="B321" s="58" t="s">
        <v>92</v>
      </c>
      <c r="C321" s="58"/>
      <c r="D321" s="58"/>
      <c r="E321" s="58"/>
      <c r="F321" s="58"/>
      <c r="H321" s="2044" t="s">
        <v>2567</v>
      </c>
      <c r="I321" s="2044"/>
      <c r="J321" s="2044"/>
      <c r="K321" s="2044"/>
      <c r="L321" s="2044"/>
      <c r="M321" s="2044"/>
      <c r="N321" s="2044"/>
      <c r="O321" s="2044"/>
      <c r="P321" s="2044"/>
      <c r="Q321" s="2044"/>
      <c r="R321" s="2044"/>
      <c r="T321" s="58" t="s">
        <v>92</v>
      </c>
      <c r="V321" s="58"/>
      <c r="W321" s="58"/>
      <c r="X321" s="58"/>
      <c r="Y321" s="58"/>
      <c r="AA321" s="2044" t="s">
        <v>2572</v>
      </c>
      <c r="AB321" s="2044"/>
      <c r="AC321" s="2044"/>
      <c r="AD321" s="2044"/>
      <c r="AE321" s="2044"/>
      <c r="AF321" s="2044"/>
      <c r="AG321" s="2044"/>
      <c r="AH321" s="2044"/>
      <c r="AI321" s="2044"/>
      <c r="AJ321" s="2044"/>
      <c r="AK321" s="2044"/>
      <c r="AL321" s="39"/>
      <c r="BN321" s="61"/>
    </row>
    <row r="322" spans="1:66" ht="12.5">
      <c r="A322" s="39"/>
      <c r="B322" s="58" t="s">
        <v>93</v>
      </c>
      <c r="C322" s="58"/>
      <c r="D322" s="58"/>
      <c r="E322" s="58"/>
      <c r="F322" s="58"/>
      <c r="G322" s="58"/>
      <c r="H322" s="2194">
        <v>2133474980</v>
      </c>
      <c r="I322" s="2194"/>
      <c r="J322" s="2194"/>
      <c r="K322" s="2194"/>
      <c r="L322" s="2194"/>
      <c r="M322" s="2194"/>
      <c r="N322" s="7" t="s">
        <v>211</v>
      </c>
      <c r="O322" s="7"/>
      <c r="P322" s="2215"/>
      <c r="Q322" s="2215"/>
      <c r="R322" s="2215"/>
      <c r="S322" s="58"/>
      <c r="T322" s="58" t="s">
        <v>93</v>
      </c>
      <c r="V322" s="58"/>
      <c r="W322" s="58"/>
      <c r="X322" s="58"/>
      <c r="Y322" s="58"/>
      <c r="AA322" s="2194">
        <v>9163726100</v>
      </c>
      <c r="AB322" s="2194"/>
      <c r="AC322" s="2194"/>
      <c r="AD322" s="2194"/>
      <c r="AE322" s="2194"/>
      <c r="AF322" s="2194"/>
      <c r="AG322" s="7" t="s">
        <v>211</v>
      </c>
      <c r="AH322" s="7"/>
      <c r="AI322" s="2215"/>
      <c r="AJ322" s="2215"/>
      <c r="AK322" s="2215"/>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v>9164196108</v>
      </c>
      <c r="AB323" s="2065"/>
      <c r="AC323" s="2065"/>
      <c r="AD323" s="2065"/>
      <c r="AE323" s="2065"/>
      <c r="AF323" s="2065"/>
      <c r="AG323" s="60"/>
      <c r="AH323" s="60"/>
      <c r="AI323" s="62"/>
      <c r="AJ323" s="62"/>
      <c r="AK323" s="62"/>
      <c r="AL323" s="39"/>
    </row>
    <row r="324" spans="1:66" ht="12.5">
      <c r="A324" s="39"/>
      <c r="B324" s="58" t="s">
        <v>80</v>
      </c>
      <c r="C324" s="58"/>
      <c r="D324" s="58"/>
      <c r="E324" s="58"/>
      <c r="F324" s="58"/>
      <c r="G324" s="58"/>
      <c r="H324" s="2044" t="s">
        <v>2568</v>
      </c>
      <c r="I324" s="2044"/>
      <c r="J324" s="2044"/>
      <c r="K324" s="2044"/>
      <c r="L324" s="2044"/>
      <c r="M324" s="2044"/>
      <c r="N324" s="2042"/>
      <c r="O324" s="2042"/>
      <c r="P324" s="2042"/>
      <c r="Q324" s="2042"/>
      <c r="R324" s="2042"/>
      <c r="S324" s="58"/>
      <c r="T324" s="58" t="s">
        <v>80</v>
      </c>
      <c r="V324" s="58"/>
      <c r="W324" s="58"/>
      <c r="X324" s="58"/>
      <c r="Y324" s="58"/>
      <c r="AA324" s="2044" t="s">
        <v>2573</v>
      </c>
      <c r="AB324" s="2044"/>
      <c r="AC324" s="2044"/>
      <c r="AD324" s="2044"/>
      <c r="AE324" s="2044"/>
      <c r="AF324" s="2044"/>
      <c r="AG324" s="2042"/>
      <c r="AH324" s="2042"/>
      <c r="AI324" s="2042"/>
      <c r="AJ324" s="2042"/>
      <c r="AK324" s="204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42" t="s">
        <v>2574</v>
      </c>
      <c r="I326" s="2042"/>
      <c r="J326" s="2042"/>
      <c r="K326" s="2042"/>
      <c r="L326" s="2042"/>
      <c r="M326" s="2042"/>
      <c r="N326" s="2042"/>
      <c r="O326" s="2042"/>
      <c r="P326" s="2042"/>
      <c r="Q326" s="2042"/>
      <c r="R326" s="2042"/>
      <c r="T326" s="58" t="s">
        <v>377</v>
      </c>
      <c r="V326" s="58"/>
      <c r="W326" s="58"/>
      <c r="X326" s="58"/>
      <c r="Y326" s="58"/>
      <c r="AA326" s="2042" t="s">
        <v>625</v>
      </c>
      <c r="AB326" s="2042"/>
      <c r="AC326" s="2042"/>
      <c r="AD326" s="2042"/>
      <c r="AE326" s="2042"/>
      <c r="AF326" s="2042"/>
      <c r="AG326" s="2042"/>
      <c r="AH326" s="2042"/>
      <c r="AI326" s="2042"/>
      <c r="AJ326" s="2042"/>
      <c r="AK326" s="2042"/>
      <c r="AL326" s="39"/>
    </row>
    <row r="327" spans="1:66" ht="12.5">
      <c r="A327" s="39"/>
      <c r="B327" s="58" t="s">
        <v>503</v>
      </c>
      <c r="C327" s="58"/>
      <c r="D327" s="58"/>
      <c r="E327" s="58"/>
      <c r="F327" s="58"/>
      <c r="H327" s="2044" t="s">
        <v>2575</v>
      </c>
      <c r="I327" s="2044"/>
      <c r="J327" s="2044"/>
      <c r="K327" s="2044"/>
      <c r="L327" s="2044"/>
      <c r="M327" s="2044"/>
      <c r="N327" s="2044"/>
      <c r="O327" s="2044"/>
      <c r="P327" s="2044"/>
      <c r="Q327" s="2044"/>
      <c r="R327" s="2044"/>
      <c r="T327" s="58" t="s">
        <v>503</v>
      </c>
      <c r="V327" s="58"/>
      <c r="W327" s="58"/>
      <c r="X327" s="58"/>
      <c r="Y327" s="58"/>
      <c r="AA327" s="2044"/>
      <c r="AB327" s="2044"/>
      <c r="AC327" s="2044"/>
      <c r="AD327" s="2044"/>
      <c r="AE327" s="2044"/>
      <c r="AF327" s="2044"/>
      <c r="AG327" s="2044"/>
      <c r="AH327" s="2044"/>
      <c r="AI327" s="2044"/>
      <c r="AJ327" s="2044"/>
      <c r="AK327" s="2044"/>
      <c r="AL327" s="39"/>
    </row>
    <row r="328" spans="1:66" ht="12.5">
      <c r="A328" s="39"/>
      <c r="B328" s="58" t="s">
        <v>504</v>
      </c>
      <c r="C328" s="58"/>
      <c r="D328" s="58"/>
      <c r="E328" s="58"/>
      <c r="F328" s="58"/>
      <c r="H328" s="2044" t="s">
        <v>2576</v>
      </c>
      <c r="I328" s="2044"/>
      <c r="J328" s="2044"/>
      <c r="K328" s="2044"/>
      <c r="L328" s="2044"/>
      <c r="M328" s="2044"/>
      <c r="N328" s="2044"/>
      <c r="O328" s="2044"/>
      <c r="P328" s="2044"/>
      <c r="Q328" s="2044"/>
      <c r="R328" s="2044"/>
      <c r="T328" s="58" t="s">
        <v>79</v>
      </c>
      <c r="V328" s="58"/>
      <c r="W328" s="58"/>
      <c r="X328" s="58"/>
      <c r="Y328" s="58"/>
      <c r="AA328" s="2044"/>
      <c r="AB328" s="2044"/>
      <c r="AC328" s="2044"/>
      <c r="AD328" s="2044"/>
      <c r="AE328" s="2044"/>
      <c r="AF328" s="2044"/>
      <c r="AG328" s="2044"/>
      <c r="AH328" s="2044"/>
      <c r="AI328" s="2044"/>
      <c r="AJ328" s="2044"/>
      <c r="AK328" s="2044"/>
      <c r="AL328" s="39"/>
    </row>
    <row r="329" spans="1:66" ht="12.5">
      <c r="A329" s="39"/>
      <c r="B329" s="58" t="s">
        <v>92</v>
      </c>
      <c r="C329" s="58"/>
      <c r="D329" s="58"/>
      <c r="E329" s="58"/>
      <c r="F329" s="58"/>
      <c r="H329" s="2044" t="s">
        <v>2577</v>
      </c>
      <c r="I329" s="2044"/>
      <c r="J329" s="2044"/>
      <c r="K329" s="2044"/>
      <c r="L329" s="2044"/>
      <c r="M329" s="2044"/>
      <c r="N329" s="2044"/>
      <c r="O329" s="2044"/>
      <c r="P329" s="2044"/>
      <c r="Q329" s="2044"/>
      <c r="R329" s="2044"/>
      <c r="T329" s="58" t="s">
        <v>92</v>
      </c>
      <c r="V329" s="58"/>
      <c r="W329" s="58"/>
      <c r="X329" s="58"/>
      <c r="Y329" s="58"/>
      <c r="AA329" s="2044"/>
      <c r="AB329" s="2044"/>
      <c r="AC329" s="2044"/>
      <c r="AD329" s="2044"/>
      <c r="AE329" s="2044"/>
      <c r="AF329" s="2044"/>
      <c r="AG329" s="2044"/>
      <c r="AH329" s="2044"/>
      <c r="AI329" s="2044"/>
      <c r="AJ329" s="2044"/>
      <c r="AK329" s="2044"/>
      <c r="AL329" s="39"/>
    </row>
    <row r="330" spans="1:66" ht="12.75" customHeight="1">
      <c r="A330" s="39"/>
      <c r="B330" s="58" t="s">
        <v>93</v>
      </c>
      <c r="C330" s="58"/>
      <c r="D330" s="58"/>
      <c r="E330" s="58"/>
      <c r="F330" s="58"/>
      <c r="G330" s="58"/>
      <c r="H330" s="2194">
        <v>8184836309</v>
      </c>
      <c r="I330" s="2194"/>
      <c r="J330" s="2194"/>
      <c r="K330" s="2194"/>
      <c r="L330" s="2194"/>
      <c r="M330" s="2194"/>
      <c r="N330" s="7" t="s">
        <v>211</v>
      </c>
      <c r="O330" s="7"/>
      <c r="P330" s="2215"/>
      <c r="Q330" s="2215"/>
      <c r="R330" s="2215"/>
      <c r="S330" s="58"/>
      <c r="T330" s="58" t="s">
        <v>93</v>
      </c>
      <c r="V330" s="58"/>
      <c r="W330" s="58"/>
      <c r="X330" s="58"/>
      <c r="Y330" s="58"/>
      <c r="AA330" s="2194"/>
      <c r="AB330" s="2194"/>
      <c r="AC330" s="2194"/>
      <c r="AD330" s="2194"/>
      <c r="AE330" s="2194"/>
      <c r="AF330" s="2194"/>
      <c r="AG330" s="7" t="s">
        <v>211</v>
      </c>
      <c r="AH330" s="7"/>
      <c r="AI330" s="2215"/>
      <c r="AJ330" s="2215"/>
      <c r="AK330" s="2215"/>
      <c r="AL330" s="39"/>
    </row>
    <row r="331" spans="1:66" ht="12.5">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2.5">
      <c r="A332" s="39"/>
      <c r="B332" s="58" t="s">
        <v>80</v>
      </c>
      <c r="C332" s="58"/>
      <c r="D332" s="58"/>
      <c r="E332" s="58"/>
      <c r="F332" s="58"/>
      <c r="G332" s="58"/>
      <c r="H332" s="2044" t="s">
        <v>2578</v>
      </c>
      <c r="I332" s="2044"/>
      <c r="J332" s="2044"/>
      <c r="K332" s="2044"/>
      <c r="L332" s="2044"/>
      <c r="M332" s="2044"/>
      <c r="N332" s="2042"/>
      <c r="O332" s="2042"/>
      <c r="P332" s="2042"/>
      <c r="Q332" s="2042"/>
      <c r="R332" s="2042"/>
      <c r="S332" s="58"/>
      <c r="T332" s="58" t="s">
        <v>80</v>
      </c>
      <c r="V332" s="58"/>
      <c r="W332" s="58"/>
      <c r="X332" s="58"/>
      <c r="Y332" s="58"/>
      <c r="AA332" s="2044"/>
      <c r="AB332" s="2044"/>
      <c r="AC332" s="2044"/>
      <c r="AD332" s="2044"/>
      <c r="AE332" s="2044"/>
      <c r="AF332" s="2044"/>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226" t="s">
        <v>939</v>
      </c>
      <c r="I334" s="2217"/>
      <c r="J334" s="2217"/>
      <c r="K334" s="2217"/>
      <c r="L334" s="2217"/>
      <c r="M334" s="2217"/>
      <c r="N334" s="2217"/>
      <c r="O334" s="2217"/>
      <c r="P334" s="2217"/>
      <c r="Q334" s="2217"/>
      <c r="R334" s="2217"/>
      <c r="T334" s="404" t="s">
        <v>951</v>
      </c>
      <c r="V334" s="58"/>
      <c r="W334" s="58"/>
      <c r="X334" s="58"/>
      <c r="Y334" s="58"/>
      <c r="AA334" s="2226" t="s">
        <v>2540</v>
      </c>
      <c r="AB334" s="2217"/>
      <c r="AC334" s="2217"/>
      <c r="AD334" s="2217"/>
      <c r="AE334" s="2217"/>
      <c r="AF334" s="2217"/>
      <c r="AG334" s="2217"/>
      <c r="AH334" s="2217"/>
      <c r="AI334" s="2217"/>
      <c r="AJ334" s="2217"/>
      <c r="AK334" s="2217"/>
      <c r="AL334" s="39"/>
    </row>
    <row r="335" spans="1:66" ht="12.75" customHeight="1">
      <c r="B335" s="58" t="s">
        <v>503</v>
      </c>
      <c r="C335" s="240"/>
      <c r="D335" s="240"/>
      <c r="E335" s="240"/>
      <c r="F335" s="240"/>
      <c r="G335" s="3"/>
      <c r="H335" s="2134" t="s">
        <v>2521</v>
      </c>
      <c r="I335" s="2044"/>
      <c r="J335" s="2044"/>
      <c r="K335" s="2044"/>
      <c r="L335" s="2044"/>
      <c r="M335" s="2044"/>
      <c r="N335" s="2044"/>
      <c r="O335" s="2044"/>
      <c r="P335" s="2044"/>
      <c r="Q335" s="2044"/>
      <c r="R335" s="2044"/>
      <c r="T335" s="58" t="s">
        <v>503</v>
      </c>
      <c r="V335" s="58"/>
      <c r="W335" s="58"/>
      <c r="X335" s="58"/>
      <c r="Y335" s="58"/>
      <c r="AA335" s="2044" t="s">
        <v>2541</v>
      </c>
      <c r="AB335" s="2044"/>
      <c r="AC335" s="2044"/>
      <c r="AD335" s="2044"/>
      <c r="AE335" s="2044"/>
      <c r="AF335" s="2044"/>
      <c r="AG335" s="2044"/>
      <c r="AH335" s="2044"/>
      <c r="AI335" s="2044"/>
      <c r="AJ335" s="2044"/>
      <c r="AK335" s="2044"/>
      <c r="AL335" s="39"/>
    </row>
    <row r="336" spans="1:66" ht="12.75" customHeight="1">
      <c r="B336" s="58" t="s">
        <v>79</v>
      </c>
      <c r="C336" s="240"/>
      <c r="D336" s="240"/>
      <c r="E336" s="240"/>
      <c r="F336" s="240"/>
      <c r="G336" s="3"/>
      <c r="H336" s="2134" t="s">
        <v>2566</v>
      </c>
      <c r="I336" s="2044"/>
      <c r="J336" s="2044"/>
      <c r="K336" s="2044"/>
      <c r="L336" s="2044"/>
      <c r="M336" s="2044"/>
      <c r="N336" s="2044"/>
      <c r="O336" s="2044"/>
      <c r="P336" s="2044"/>
      <c r="Q336" s="2044"/>
      <c r="R336" s="2044"/>
      <c r="T336" s="58" t="s">
        <v>79</v>
      </c>
      <c r="V336" s="58"/>
      <c r="W336" s="58"/>
      <c r="X336" s="58"/>
      <c r="Y336" s="58"/>
      <c r="AA336" s="2134" t="s">
        <v>2542</v>
      </c>
      <c r="AB336" s="2044"/>
      <c r="AC336" s="2044"/>
      <c r="AD336" s="2044"/>
      <c r="AE336" s="2044"/>
      <c r="AF336" s="2044"/>
      <c r="AG336" s="2044"/>
      <c r="AH336" s="2044"/>
      <c r="AI336" s="2044"/>
      <c r="AJ336" s="2044"/>
      <c r="AK336" s="2044"/>
      <c r="AL336" s="39"/>
    </row>
    <row r="337" spans="1:66" ht="12.75" customHeight="1">
      <c r="A337" s="39"/>
      <c r="B337" s="58" t="s">
        <v>92</v>
      </c>
      <c r="C337" s="240"/>
      <c r="D337" s="240"/>
      <c r="E337" s="240"/>
      <c r="F337" s="240"/>
      <c r="G337" s="240"/>
      <c r="H337" s="2134" t="s">
        <v>2579</v>
      </c>
      <c r="I337" s="2044"/>
      <c r="J337" s="2044"/>
      <c r="K337" s="2044"/>
      <c r="L337" s="2044"/>
      <c r="M337" s="2044"/>
      <c r="N337" s="2044"/>
      <c r="O337" s="2044"/>
      <c r="P337" s="2044"/>
      <c r="Q337" s="2044"/>
      <c r="R337" s="2044"/>
      <c r="T337" s="58" t="s">
        <v>92</v>
      </c>
      <c r="V337" s="58"/>
      <c r="W337" s="58"/>
      <c r="X337" s="58"/>
      <c r="Y337" s="58"/>
      <c r="AA337" s="2134" t="s">
        <v>2581</v>
      </c>
      <c r="AB337" s="2044"/>
      <c r="AC337" s="2044"/>
      <c r="AD337" s="2044"/>
      <c r="AE337" s="2044"/>
      <c r="AF337" s="2044"/>
      <c r="AG337" s="2044"/>
      <c r="AH337" s="2044"/>
      <c r="AI337" s="2044"/>
      <c r="AJ337" s="2044"/>
      <c r="AK337" s="2044"/>
      <c r="AL337" s="39"/>
    </row>
    <row r="338" spans="1:66" ht="12.75" customHeight="1">
      <c r="A338" s="39"/>
      <c r="B338" s="58" t="s">
        <v>93</v>
      </c>
      <c r="C338" s="240"/>
      <c r="D338" s="240"/>
      <c r="E338" s="240"/>
      <c r="F338" s="240"/>
      <c r="G338" s="240"/>
      <c r="H338" s="2194">
        <v>2138088630</v>
      </c>
      <c r="I338" s="2194"/>
      <c r="J338" s="2194"/>
      <c r="K338" s="2194"/>
      <c r="L338" s="2194"/>
      <c r="M338" s="2194"/>
      <c r="N338" s="7" t="s">
        <v>211</v>
      </c>
      <c r="O338" s="7"/>
      <c r="P338" s="2215"/>
      <c r="Q338" s="2215"/>
      <c r="R338" s="2215"/>
      <c r="S338" s="58"/>
      <c r="T338" s="58" t="s">
        <v>93</v>
      </c>
      <c r="V338" s="58"/>
      <c r="W338" s="58"/>
      <c r="X338" s="58"/>
      <c r="Y338" s="58"/>
      <c r="AA338" s="2194">
        <v>2132252708</v>
      </c>
      <c r="AB338" s="2194"/>
      <c r="AC338" s="2194"/>
      <c r="AD338" s="2194"/>
      <c r="AE338" s="2194"/>
      <c r="AF338" s="2194"/>
      <c r="AG338" s="7" t="s">
        <v>211</v>
      </c>
      <c r="AH338" s="7"/>
      <c r="AI338" s="2215"/>
      <c r="AJ338" s="2215"/>
      <c r="AK338" s="2215"/>
      <c r="AL338" s="39"/>
    </row>
    <row r="339" spans="1:66" ht="12.5">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218" t="s">
        <v>2544</v>
      </c>
      <c r="AB339" s="2218"/>
      <c r="AC339" s="2218"/>
      <c r="AD339" s="2218"/>
      <c r="AE339" s="2218"/>
      <c r="AF339" s="2218"/>
      <c r="AG339" s="60"/>
      <c r="AH339" s="60"/>
      <c r="AI339" s="62"/>
      <c r="AJ339" s="62"/>
      <c r="AK339" s="62"/>
      <c r="AL339" s="39"/>
    </row>
    <row r="340" spans="1:66" ht="12.5">
      <c r="A340" s="39"/>
      <c r="B340" s="58" t="s">
        <v>80</v>
      </c>
      <c r="C340" s="237"/>
      <c r="D340" s="237"/>
      <c r="E340" s="237"/>
      <c r="F340" s="237"/>
      <c r="G340" s="237"/>
      <c r="H340" s="2044" t="s">
        <v>2580</v>
      </c>
      <c r="I340" s="2044"/>
      <c r="J340" s="2044"/>
      <c r="K340" s="2044"/>
      <c r="L340" s="2044"/>
      <c r="M340" s="2044"/>
      <c r="N340" s="2042"/>
      <c r="O340" s="2042"/>
      <c r="P340" s="2042"/>
      <c r="Q340" s="2042"/>
      <c r="R340" s="2042"/>
      <c r="S340" s="58"/>
      <c r="T340" s="58" t="s">
        <v>80</v>
      </c>
      <c r="V340" s="58"/>
      <c r="W340" s="58"/>
      <c r="X340" s="58"/>
      <c r="Y340" s="58"/>
      <c r="AA340" s="2044" t="s">
        <v>2582</v>
      </c>
      <c r="AB340" s="2044"/>
      <c r="AC340" s="2044"/>
      <c r="AD340" s="2044"/>
      <c r="AE340" s="2044"/>
      <c r="AF340" s="2044"/>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952</v>
      </c>
      <c r="P342" s="2042"/>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5">
      <c r="A343" s="3"/>
      <c r="B343" s="60"/>
      <c r="C343" s="60"/>
      <c r="D343" s="60"/>
      <c r="E343" s="60"/>
      <c r="F343" s="60"/>
      <c r="G343" s="3"/>
      <c r="H343" s="88"/>
      <c r="I343" s="7" t="s">
        <v>503</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705</v>
      </c>
    </row>
    <row r="344" spans="1:66" ht="12.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577</v>
      </c>
    </row>
    <row r="345" spans="1:66" ht="12.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5">
      <c r="A346" s="3"/>
      <c r="B346" s="60"/>
      <c r="C346" s="60"/>
      <c r="D346" s="60"/>
      <c r="E346" s="60"/>
      <c r="F346" s="60"/>
      <c r="G346" s="60"/>
      <c r="H346" s="464"/>
      <c r="I346" s="7" t="s">
        <v>93</v>
      </c>
      <c r="P346" s="2065"/>
      <c r="Q346" s="2065"/>
      <c r="R346" s="2065"/>
      <c r="S346" s="2065"/>
      <c r="T346" s="2065"/>
      <c r="U346" s="2065"/>
      <c r="V346" s="2065"/>
      <c r="W346" s="2065"/>
      <c r="X346" s="2065"/>
      <c r="Y346" s="2065"/>
      <c r="Z346" s="2065"/>
      <c r="AA346" s="7" t="s">
        <v>211</v>
      </c>
      <c r="AB346" s="7"/>
      <c r="AC346" s="2032"/>
      <c r="AD346" s="2032"/>
      <c r="AE346" s="2032"/>
      <c r="AF346" s="464"/>
      <c r="AG346" s="60"/>
      <c r="AH346" s="60"/>
      <c r="AI346" s="405"/>
      <c r="AJ346" s="405"/>
      <c r="AK346" s="405"/>
      <c r="AL346" s="39"/>
    </row>
    <row r="347" spans="1:66" ht="12.75" customHeight="1">
      <c r="A347" s="3"/>
      <c r="B347" s="60"/>
      <c r="C347" s="60"/>
      <c r="D347" s="60"/>
      <c r="E347" s="60"/>
      <c r="F347" s="60"/>
      <c r="G347" s="60"/>
      <c r="H347" s="464"/>
      <c r="I347" s="7" t="s">
        <v>94</v>
      </c>
      <c r="P347" s="2065"/>
      <c r="Q347" s="2065"/>
      <c r="R347" s="2065"/>
      <c r="S347" s="2065"/>
      <c r="T347" s="2065"/>
      <c r="U347" s="2065"/>
      <c r="V347" s="2065"/>
      <c r="W347" s="2065"/>
      <c r="X347" s="2065"/>
      <c r="Y347" s="2065"/>
      <c r="Z347" s="2065"/>
      <c r="AF347" s="464"/>
      <c r="AG347" s="60"/>
      <c r="AH347" s="60"/>
      <c r="AI347" s="62"/>
      <c r="AJ347" s="62"/>
      <c r="AK347" s="62"/>
      <c r="AL347" s="39"/>
    </row>
    <row r="348" spans="1:66" ht="12.5">
      <c r="A348" s="3"/>
      <c r="B348" s="60"/>
      <c r="C348" s="405"/>
      <c r="D348" s="405"/>
      <c r="E348" s="405"/>
      <c r="F348" s="405"/>
      <c r="G348" s="405"/>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5" t="s">
        <v>574</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3.5"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40" t="s">
        <v>577</v>
      </c>
      <c r="N354" s="2040"/>
      <c r="P354" s="12" t="s">
        <v>2001</v>
      </c>
      <c r="AJ354" s="2040" t="s">
        <v>577</v>
      </c>
      <c r="AK354" s="2040"/>
    </row>
    <row r="355" spans="1:37" ht="12.75" customHeight="1">
      <c r="D355" s="58" t="s">
        <v>1990</v>
      </c>
      <c r="M355" s="2040" t="s">
        <v>625</v>
      </c>
      <c r="N355" s="2040"/>
      <c r="P355" s="58" t="s">
        <v>2215</v>
      </c>
      <c r="AJ355" s="2136" t="s">
        <v>625</v>
      </c>
      <c r="AK355" s="2136"/>
    </row>
    <row r="356" spans="1:37" ht="12.75" customHeight="1">
      <c r="D356" s="12" t="s">
        <v>744</v>
      </c>
      <c r="M356" s="2040" t="s">
        <v>625</v>
      </c>
      <c r="N356" s="2040"/>
      <c r="P356" s="718" t="s">
        <v>2000</v>
      </c>
      <c r="AJ356" s="2040" t="s">
        <v>625</v>
      </c>
      <c r="AK356" s="2040"/>
    </row>
    <row r="357" spans="1:37" ht="12.75" customHeight="1">
      <c r="D357" s="12" t="s">
        <v>745</v>
      </c>
      <c r="M357" s="2040" t="s">
        <v>625</v>
      </c>
      <c r="N357" s="204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0" t="s">
        <v>625</v>
      </c>
      <c r="O362" s="2040"/>
      <c r="P362" s="69"/>
      <c r="Q362" s="69"/>
      <c r="R362" s="69"/>
      <c r="S362" s="69"/>
      <c r="T362" s="69"/>
      <c r="U362" s="69"/>
      <c r="V362" s="69"/>
      <c r="W362" s="69"/>
      <c r="X362" s="69"/>
      <c r="Y362" s="70"/>
      <c r="Z362" s="70"/>
      <c r="AC362" s="69"/>
      <c r="AD362" s="69"/>
      <c r="AE362" s="69"/>
    </row>
    <row r="363" spans="1:37" ht="12.75" customHeight="1">
      <c r="E363" s="12" t="s">
        <v>380</v>
      </c>
      <c r="Y363" s="2040" t="s">
        <v>625</v>
      </c>
      <c r="Z363" s="2040"/>
    </row>
    <row r="364" spans="1:37" ht="12.75" customHeight="1">
      <c r="D364" s="7" t="s">
        <v>1057</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0" t="s">
        <v>625</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85" t="s">
        <v>746</v>
      </c>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row>
    <row r="368" spans="1:37" ht="12.75" customHeight="1">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row>
    <row r="369" spans="1:36" ht="12.75" customHeight="1">
      <c r="E369" s="7" t="s">
        <v>478</v>
      </c>
      <c r="F369" s="7"/>
      <c r="G369" s="7"/>
      <c r="H369" s="7"/>
      <c r="I369" s="7"/>
      <c r="J369" s="7"/>
      <c r="K369" s="7"/>
      <c r="L369" s="7"/>
      <c r="N369" s="2064"/>
      <c r="O369" s="2064"/>
      <c r="P369" s="2064"/>
      <c r="Q369" s="2064"/>
      <c r="R369" s="7"/>
      <c r="U369" s="7" t="s">
        <v>479</v>
      </c>
      <c r="V369" s="7"/>
      <c r="W369" s="7"/>
      <c r="X369" s="7"/>
      <c r="Y369" s="7"/>
      <c r="Z369" s="7"/>
      <c r="AA369" s="7"/>
      <c r="AB369" s="7"/>
      <c r="AC369" s="2064"/>
      <c r="AD369" s="2064"/>
      <c r="AE369" s="2064"/>
      <c r="AF369" s="2064"/>
    </row>
    <row r="370" spans="1:36" ht="12.75" customHeight="1">
      <c r="E370" s="7" t="s">
        <v>480</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87"/>
      <c r="T376" s="2087"/>
      <c r="U376" s="4" t="s">
        <v>314</v>
      </c>
      <c r="V376" s="2087"/>
      <c r="W376" s="2087"/>
      <c r="Y376" s="25" t="s">
        <v>312</v>
      </c>
      <c r="AA376" s="25"/>
      <c r="AB376" s="25" t="s">
        <v>313</v>
      </c>
      <c r="AD376" s="2087"/>
      <c r="AE376" s="2087"/>
      <c r="AF376" s="4" t="s">
        <v>314</v>
      </c>
      <c r="AG376" s="2087"/>
      <c r="AH376" s="2087"/>
    </row>
    <row r="377" spans="1:36" ht="12.75" customHeight="1">
      <c r="E377" s="7" t="s">
        <v>1088</v>
      </c>
      <c r="F377" s="7"/>
      <c r="G377" s="7"/>
      <c r="H377" s="7"/>
      <c r="I377" s="7"/>
      <c r="J377" s="7"/>
      <c r="K377" s="7"/>
      <c r="L377" s="7"/>
      <c r="N377" s="2087"/>
      <c r="O377" s="2087"/>
      <c r="P377" s="2087"/>
    </row>
    <row r="378" spans="1:36" ht="12.75" customHeight="1">
      <c r="E378" s="382" t="s">
        <v>1089</v>
      </c>
      <c r="F378" s="7"/>
      <c r="G378" s="7"/>
      <c r="H378" s="7"/>
      <c r="I378" s="7"/>
      <c r="J378" s="7"/>
      <c r="K378" s="7"/>
      <c r="L378" s="7"/>
      <c r="AG378" s="2193" t="s">
        <v>625</v>
      </c>
      <c r="AH378" s="2193"/>
    </row>
    <row r="379" spans="1:36" ht="12.75" customHeight="1">
      <c r="E379" s="7"/>
      <c r="F379" s="7"/>
      <c r="G379" s="7" t="s">
        <v>1110</v>
      </c>
      <c r="H379" s="7"/>
      <c r="I379" s="7"/>
      <c r="J379" s="7"/>
      <c r="K379" s="7"/>
      <c r="L379" s="7"/>
      <c r="AG379" s="2193" t="s">
        <v>625</v>
      </c>
      <c r="AH379" s="2193"/>
    </row>
    <row r="380" spans="1:36" ht="12.75" customHeight="1">
      <c r="E380" s="7"/>
      <c r="F380" s="7"/>
      <c r="G380" s="508" t="s">
        <v>1090</v>
      </c>
      <c r="H380" s="7"/>
      <c r="I380" s="7"/>
      <c r="J380" s="7"/>
      <c r="K380" s="7"/>
      <c r="L380" s="7"/>
      <c r="V380" s="2040" t="s">
        <v>625</v>
      </c>
      <c r="W380" s="2040"/>
      <c r="Y380" s="35" t="s">
        <v>1059</v>
      </c>
    </row>
    <row r="381" spans="1:36" ht="12.75" customHeight="1">
      <c r="E381" s="7" t="s">
        <v>1060</v>
      </c>
      <c r="F381" s="7"/>
      <c r="G381" s="7"/>
      <c r="H381" s="7"/>
      <c r="I381" s="7"/>
      <c r="J381" s="7"/>
      <c r="K381" s="7"/>
      <c r="L381" s="7"/>
      <c r="V381" s="2040" t="s">
        <v>625</v>
      </c>
      <c r="W381" s="2040"/>
      <c r="Y381" s="7" t="s">
        <v>1061</v>
      </c>
    </row>
    <row r="382" spans="1:36" ht="12.75" customHeight="1"/>
    <row r="383" spans="1:36" ht="12.75" customHeight="1">
      <c r="A383" s="50" t="s">
        <v>82</v>
      </c>
      <c r="B383" s="50"/>
    </row>
    <row r="384" spans="1:36" ht="12.75" customHeight="1">
      <c r="D384" s="12" t="s">
        <v>448</v>
      </c>
      <c r="J384" s="2042" t="s">
        <v>2583</v>
      </c>
      <c r="K384" s="2042"/>
      <c r="L384" s="2042"/>
      <c r="M384" s="2042"/>
      <c r="N384" s="2042"/>
      <c r="O384" s="2042"/>
      <c r="P384" s="2042"/>
      <c r="Q384" s="2042"/>
      <c r="R384" s="2042"/>
      <c r="S384" s="2042"/>
      <c r="T384" s="2042"/>
      <c r="U384" s="2042"/>
      <c r="V384" s="14" t="s">
        <v>88</v>
      </c>
      <c r="W384" s="14"/>
      <c r="X384" s="14"/>
      <c r="Y384" s="14"/>
      <c r="Z384" s="14"/>
      <c r="AA384" s="14"/>
      <c r="AB384" s="14"/>
      <c r="AC384" s="2042" t="s">
        <v>2584</v>
      </c>
      <c r="AD384" s="2042"/>
      <c r="AE384" s="2042"/>
      <c r="AF384" s="2042"/>
      <c r="AG384" s="2042"/>
      <c r="AH384" s="2042"/>
      <c r="AI384" s="2042"/>
      <c r="AJ384" s="2042"/>
    </row>
    <row r="385" spans="1:96" ht="12.75" customHeight="1">
      <c r="A385" s="718"/>
      <c r="B385" s="718"/>
      <c r="C385" s="718"/>
      <c r="D385" s="58" t="s">
        <v>1380</v>
      </c>
      <c r="E385" s="718"/>
      <c r="F385" s="718"/>
      <c r="G385" s="718"/>
      <c r="H385" s="718"/>
      <c r="I385" s="718"/>
      <c r="J385" s="2044" t="s">
        <v>2585</v>
      </c>
      <c r="K385" s="2044"/>
      <c r="L385" s="2044"/>
      <c r="M385" s="2044"/>
      <c r="N385" s="2044"/>
      <c r="O385" s="2044"/>
      <c r="P385" s="2044"/>
      <c r="Q385" s="2044"/>
      <c r="R385" s="2044"/>
      <c r="S385" s="2044"/>
      <c r="T385" s="2044"/>
      <c r="U385" s="2044"/>
      <c r="V385" s="58" t="s">
        <v>1380</v>
      </c>
      <c r="W385" s="14"/>
      <c r="X385" s="14"/>
      <c r="Y385" s="14"/>
      <c r="Z385" s="14"/>
      <c r="AA385" s="14"/>
      <c r="AB385" s="14"/>
      <c r="AC385" s="2042" t="s">
        <v>2586</v>
      </c>
      <c r="AD385" s="2042"/>
      <c r="AE385" s="2042"/>
      <c r="AF385" s="2042"/>
      <c r="AG385" s="2042"/>
      <c r="AH385" s="2042"/>
      <c r="AI385" s="2042"/>
      <c r="AJ385" s="2042"/>
      <c r="AK385" s="718"/>
      <c r="AL385" s="718"/>
    </row>
    <row r="386" spans="1:96" ht="12.75" customHeight="1">
      <c r="A386" s="718"/>
      <c r="B386" s="718"/>
      <c r="C386" s="718"/>
      <c r="D386" s="58" t="s">
        <v>463</v>
      </c>
      <c r="E386" s="718"/>
      <c r="F386" s="718"/>
      <c r="G386" s="718"/>
      <c r="H386" s="718"/>
      <c r="I386" s="718"/>
      <c r="J386" s="2044"/>
      <c r="K386" s="2044"/>
      <c r="L386" s="2044"/>
      <c r="M386" s="2044"/>
      <c r="N386" s="2044"/>
      <c r="O386" s="2044"/>
      <c r="P386" s="2044"/>
      <c r="Q386" s="2044"/>
      <c r="R386" s="2044"/>
      <c r="S386" s="2044"/>
      <c r="T386" s="2044"/>
      <c r="U386" s="2044"/>
      <c r="V386" s="58" t="s">
        <v>463</v>
      </c>
      <c r="W386" s="14"/>
      <c r="X386" s="14"/>
      <c r="Y386" s="14"/>
      <c r="Z386" s="14"/>
      <c r="AA386" s="14"/>
      <c r="AB386" s="14"/>
      <c r="AC386" s="2042"/>
      <c r="AD386" s="2042"/>
      <c r="AE386" s="2042"/>
      <c r="AF386" s="2042"/>
      <c r="AG386" s="2042"/>
      <c r="AH386" s="2042"/>
      <c r="AI386" s="2042"/>
      <c r="AJ386" s="2042"/>
      <c r="AK386" s="718"/>
      <c r="AL386" s="718"/>
    </row>
    <row r="387" spans="1:96" ht="12.75" customHeight="1">
      <c r="A387" s="718"/>
      <c r="B387" s="718"/>
      <c r="C387" s="718"/>
      <c r="D387" s="478" t="s">
        <v>1376</v>
      </c>
      <c r="E387" s="718"/>
      <c r="F387" s="718"/>
      <c r="G387" s="718"/>
      <c r="H387" s="718"/>
      <c r="I387" s="88"/>
      <c r="J387" s="2060" t="s">
        <v>2587</v>
      </c>
      <c r="K387" s="2060"/>
      <c r="L387" s="2060"/>
      <c r="M387" s="2060"/>
      <c r="N387" s="2060"/>
      <c r="O387" s="2060"/>
      <c r="P387" s="2060"/>
      <c r="Q387" s="2060"/>
      <c r="R387" s="2060"/>
      <c r="S387" s="2060"/>
      <c r="T387" s="2060"/>
      <c r="U387" s="2060"/>
      <c r="V387" s="2042"/>
      <c r="W387" s="2042"/>
      <c r="X387" s="2042"/>
      <c r="Y387" s="2042"/>
      <c r="Z387" s="2042"/>
      <c r="AA387" s="2042"/>
      <c r="AB387" s="2042"/>
      <c r="AC387" s="2042"/>
      <c r="AD387" s="2042"/>
      <c r="AE387" s="2042"/>
      <c r="AF387" s="2042"/>
      <c r="AG387" s="2042"/>
      <c r="AH387" s="2042"/>
      <c r="AI387" s="2042"/>
      <c r="AJ387" s="2042"/>
      <c r="AK387" s="718"/>
      <c r="AL387" s="718"/>
    </row>
    <row r="388" spans="1:96" ht="12.75" customHeight="1">
      <c r="D388" s="12" t="s">
        <v>4</v>
      </c>
      <c r="Q388" s="2250">
        <v>43945</v>
      </c>
      <c r="R388" s="2250"/>
      <c r="S388" s="2250"/>
      <c r="T388" s="2250"/>
      <c r="U388" s="2250"/>
      <c r="V388" s="12" t="s">
        <v>317</v>
      </c>
      <c r="AI388" s="2040" t="s">
        <v>705</v>
      </c>
      <c r="AJ388" s="2040"/>
    </row>
    <row r="389" spans="1:96" ht="12.75" customHeight="1">
      <c r="D389" s="12" t="s">
        <v>5</v>
      </c>
      <c r="Q389" s="2339"/>
      <c r="R389" s="2384"/>
      <c r="S389" s="2384"/>
      <c r="T389" s="2384"/>
      <c r="U389" s="2384"/>
      <c r="W389" s="33" t="s">
        <v>78</v>
      </c>
      <c r="AG389" s="2062"/>
      <c r="AH389" s="2062"/>
      <c r="AI389" s="2062"/>
      <c r="AJ389" s="2062"/>
    </row>
    <row r="390" spans="1:96" ht="12.75" customHeight="1">
      <c r="D390" s="12" t="s">
        <v>447</v>
      </c>
      <c r="Q390" s="2251">
        <v>4300000</v>
      </c>
      <c r="R390" s="2251"/>
      <c r="S390" s="2251"/>
      <c r="T390" s="2251"/>
      <c r="U390" s="2251"/>
      <c r="V390" s="58" t="s">
        <v>1379</v>
      </c>
      <c r="AG390" s="2063">
        <v>44106</v>
      </c>
      <c r="AH390" s="2063"/>
      <c r="AI390" s="2063"/>
      <c r="AJ390" s="2063"/>
    </row>
    <row r="391" spans="1:96" ht="12.75" customHeight="1">
      <c r="D391" s="12" t="s">
        <v>93</v>
      </c>
      <c r="I391" s="2194"/>
      <c r="J391" s="2194"/>
      <c r="K391" s="2194"/>
      <c r="L391" s="2194"/>
      <c r="M391" s="2194"/>
      <c r="N391" s="2194"/>
      <c r="Q391" s="57" t="s">
        <v>211</v>
      </c>
      <c r="S391" s="2249"/>
      <c r="T391" s="2249"/>
      <c r="U391" s="2249"/>
      <c r="V391" s="12" t="s">
        <v>77</v>
      </c>
      <c r="AI391" s="2040" t="s">
        <v>705</v>
      </c>
      <c r="AJ391" s="2040"/>
    </row>
    <row r="392" spans="1:96" ht="12.75" customHeight="1">
      <c r="D392" s="12" t="s">
        <v>318</v>
      </c>
      <c r="Q392" s="2198">
        <v>31646.550308008213</v>
      </c>
      <c r="R392" s="2198"/>
      <c r="S392" s="2198"/>
      <c r="T392" s="2198"/>
      <c r="U392" s="2198"/>
      <c r="V392" s="12" t="s">
        <v>319</v>
      </c>
      <c r="AG392" s="2062">
        <v>513729</v>
      </c>
      <c r="AH392" s="2062"/>
      <c r="AI392" s="2062"/>
      <c r="AJ392" s="2062"/>
    </row>
    <row r="393" spans="1:96" ht="12.75" customHeight="1">
      <c r="D393" s="12" t="s">
        <v>320</v>
      </c>
      <c r="Q393" s="2197">
        <v>1.37E-2</v>
      </c>
      <c r="R393" s="2197"/>
      <c r="S393" s="2197"/>
      <c r="T393" s="2197"/>
      <c r="U393" s="2197"/>
      <c r="V393" s="718" t="s">
        <v>1356</v>
      </c>
      <c r="AG393" s="2062">
        <v>0</v>
      </c>
      <c r="AH393" s="2062"/>
      <c r="AI393" s="2062"/>
      <c r="AJ393" s="2062"/>
    </row>
    <row r="394" spans="1:96" ht="12.5">
      <c r="D394" s="718" t="s">
        <v>1355</v>
      </c>
      <c r="V394" s="718"/>
      <c r="AG394" s="2062">
        <v>0</v>
      </c>
      <c r="AH394" s="2062"/>
      <c r="AI394" s="2062"/>
      <c r="AJ394" s="2062"/>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2019</v>
      </c>
      <c r="AG396" s="747"/>
      <c r="AH396" s="747"/>
      <c r="AI396" s="2040" t="s">
        <v>705</v>
      </c>
      <c r="AJ396" s="2040"/>
      <c r="AM396" s="39"/>
      <c r="AN396" s="39"/>
      <c r="AO396" s="39"/>
      <c r="AP396" s="39"/>
      <c r="AQ396" s="39"/>
      <c r="AR396" s="39"/>
      <c r="AS396" s="39"/>
      <c r="AT396" s="39"/>
      <c r="AU396" s="39"/>
      <c r="AV396" s="39"/>
      <c r="AW396" s="39"/>
      <c r="AX396" s="39"/>
      <c r="AY396" s="39"/>
      <c r="CR396" s="25"/>
    </row>
    <row r="397" spans="1:96" s="718" customFormat="1" ht="12.5">
      <c r="D397" s="58" t="s">
        <v>2021</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8" customFormat="1" ht="12.5">
      <c r="D398" s="58" t="s">
        <v>2020</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2013</v>
      </c>
      <c r="E400" s="718"/>
      <c r="F400" s="718"/>
      <c r="G400" s="718"/>
      <c r="H400" s="718"/>
      <c r="I400" s="718"/>
      <c r="J400" s="718"/>
      <c r="K400" s="718"/>
      <c r="L400" s="718"/>
      <c r="M400" s="718"/>
      <c r="N400" s="718"/>
      <c r="O400" s="718"/>
      <c r="P400" s="718"/>
      <c r="Q400" s="718"/>
      <c r="R400" s="718"/>
      <c r="S400" s="2105" t="s">
        <v>705</v>
      </c>
      <c r="T400" s="2105"/>
      <c r="U400" s="2105"/>
      <c r="V400" s="478" t="s">
        <v>2014</v>
      </c>
      <c r="W400" s="718"/>
      <c r="X400" s="718"/>
      <c r="Y400" s="718"/>
      <c r="Z400" s="718"/>
      <c r="AA400" s="718"/>
      <c r="AB400" s="39"/>
      <c r="AC400" s="39"/>
      <c r="AD400" s="39"/>
      <c r="AE400" s="39"/>
      <c r="AF400" s="39"/>
      <c r="AG400" s="2150"/>
      <c r="AH400" s="2150"/>
      <c r="AI400" s="2150"/>
      <c r="AJ400" s="2150"/>
      <c r="AK400" s="39"/>
      <c r="AL400" s="718"/>
    </row>
    <row r="401" spans="1:96" s="718" customFormat="1" ht="12.5">
      <c r="D401" s="58" t="s">
        <v>2010</v>
      </c>
      <c r="S401" s="2105" t="s">
        <v>625</v>
      </c>
      <c r="T401" s="2105"/>
      <c r="U401" s="2105"/>
      <c r="V401" s="478" t="s">
        <v>2016</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8" customFormat="1" ht="12.5">
      <c r="D402" s="58" t="s">
        <v>2012</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8" customFormat="1" ht="12.5">
      <c r="D403" s="58" t="s">
        <v>2015</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8" customFormat="1" ht="12.75" customHeight="1">
      <c r="D404" s="181" t="s">
        <v>2018</v>
      </c>
      <c r="E404" s="1518"/>
      <c r="F404" s="1518"/>
      <c r="G404" s="1518"/>
      <c r="H404" s="1518"/>
      <c r="I404" s="1518"/>
      <c r="J404" s="1518"/>
      <c r="K404" s="1518"/>
      <c r="L404" s="1518"/>
      <c r="M404" s="1518"/>
      <c r="N404" s="1518"/>
      <c r="O404" s="1518"/>
      <c r="P404" s="1518"/>
      <c r="Q404" s="1518"/>
      <c r="R404" s="1518"/>
      <c r="S404" s="2153" t="s">
        <v>1382</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8" customFormat="1" ht="12.5">
      <c r="D405" s="2152" t="s">
        <v>2017</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8" customFormat="1" ht="12.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1" t="s">
        <v>2588</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8"/>
      <c r="Q410" s="718"/>
      <c r="R410" s="2040" t="s">
        <v>577</v>
      </c>
      <c r="S410" s="2040"/>
      <c r="T410" s="12" t="s">
        <v>603</v>
      </c>
      <c r="U410" s="718"/>
      <c r="V410" s="718"/>
      <c r="W410" s="718"/>
      <c r="X410" s="718"/>
      <c r="Y410" s="718"/>
      <c r="Z410" s="718"/>
      <c r="AA410" s="718"/>
      <c r="AB410" s="718"/>
      <c r="AC410" s="718"/>
      <c r="AD410" s="2064">
        <v>4</v>
      </c>
      <c r="AE410" s="2064"/>
      <c r="AF410" s="718"/>
    </row>
    <row r="411" spans="1:96" ht="12.5">
      <c r="C411" s="25"/>
      <c r="E411" s="12" t="s">
        <v>112</v>
      </c>
      <c r="F411" s="718"/>
      <c r="G411" s="718"/>
      <c r="H411" s="718"/>
      <c r="I411" s="718"/>
      <c r="J411" s="718"/>
      <c r="K411" s="718"/>
      <c r="L411" s="718"/>
      <c r="M411" s="718"/>
      <c r="N411" s="25"/>
      <c r="O411" s="25"/>
      <c r="P411" s="718"/>
      <c r="Q411" s="718"/>
      <c r="R411" s="2040" t="s">
        <v>625</v>
      </c>
      <c r="S411" s="2040"/>
      <c r="T411" s="12" t="s">
        <v>603</v>
      </c>
      <c r="U411" s="718"/>
      <c r="V411" s="718"/>
      <c r="W411" s="718"/>
      <c r="X411" s="718"/>
      <c r="Y411" s="718"/>
      <c r="Z411" s="718"/>
      <c r="AA411" s="718"/>
      <c r="AB411" s="718"/>
      <c r="AC411" s="718"/>
      <c r="AD411" s="2064">
        <v>0</v>
      </c>
      <c r="AE411" s="2064"/>
      <c r="AF411" s="718"/>
    </row>
    <row r="412" spans="1:96" ht="12.75" customHeight="1">
      <c r="C412" s="25"/>
      <c r="E412" s="12" t="s">
        <v>113</v>
      </c>
      <c r="F412" s="718"/>
      <c r="G412" s="718"/>
      <c r="H412" s="718"/>
      <c r="I412" s="718"/>
      <c r="J412" s="718"/>
      <c r="K412" s="718"/>
      <c r="L412" s="718"/>
      <c r="M412" s="718"/>
      <c r="N412" s="25"/>
      <c r="O412" s="25"/>
      <c r="P412" s="718"/>
      <c r="Q412" s="718"/>
      <c r="R412" s="718"/>
      <c r="S412" s="2040" t="s">
        <v>625</v>
      </c>
      <c r="T412" s="2040"/>
      <c r="U412" s="718"/>
      <c r="V412" s="718"/>
      <c r="W412" s="718"/>
      <c r="X412" s="718"/>
      <c r="Y412" s="718"/>
      <c r="Z412" s="718"/>
      <c r="AA412" s="718"/>
      <c r="AB412" s="718"/>
      <c r="AC412" s="718"/>
      <c r="AD412" s="718"/>
      <c r="AE412" s="718"/>
      <c r="AF412" s="718"/>
    </row>
    <row r="413" spans="1:96" ht="12.75" customHeight="1">
      <c r="E413" s="12" t="s">
        <v>174</v>
      </c>
      <c r="F413" s="718"/>
      <c r="G413" s="718"/>
      <c r="H413" s="2195" t="s">
        <v>342</v>
      </c>
      <c r="I413" s="2195"/>
      <c r="J413" s="2195"/>
      <c r="K413" s="2195"/>
      <c r="L413" s="2195"/>
      <c r="M413" s="2195"/>
      <c r="N413" s="2195"/>
      <c r="O413" s="2195"/>
      <c r="P413" s="2195"/>
      <c r="Q413" s="2195"/>
      <c r="R413" s="2195"/>
      <c r="S413" s="2195"/>
      <c r="T413" s="2195"/>
      <c r="U413" s="2195"/>
      <c r="V413" s="2195"/>
      <c r="W413" s="2195"/>
      <c r="X413" s="2195"/>
      <c r="Y413" s="2195"/>
      <c r="Z413" s="2195"/>
      <c r="AA413" s="2195"/>
      <c r="AB413" s="2195"/>
      <c r="AC413" s="2195"/>
      <c r="AD413" s="2195"/>
      <c r="AE413" s="2195"/>
      <c r="AF413" s="718"/>
    </row>
    <row r="414" spans="1:96" ht="12.75" customHeight="1">
      <c r="E414" s="25"/>
      <c r="F414" s="718"/>
      <c r="G414" s="718"/>
      <c r="H414" s="2196"/>
      <c r="I414" s="2196"/>
      <c r="J414" s="2196"/>
      <c r="K414" s="2196"/>
      <c r="L414" s="2196"/>
      <c r="M414" s="2196"/>
      <c r="N414" s="2196"/>
      <c r="O414" s="2196"/>
      <c r="P414" s="2196"/>
      <c r="Q414" s="2196"/>
      <c r="R414" s="2196"/>
      <c r="S414" s="2196"/>
      <c r="T414" s="2196"/>
      <c r="U414" s="2196"/>
      <c r="V414" s="2196"/>
      <c r="W414" s="2196"/>
      <c r="X414" s="2196"/>
      <c r="Y414" s="2196"/>
      <c r="Z414" s="2196"/>
      <c r="AA414" s="2196"/>
      <c r="AB414" s="2196"/>
      <c r="AC414" s="2196"/>
      <c r="AD414" s="2196"/>
      <c r="AE414" s="2196"/>
      <c r="AF414" s="718"/>
    </row>
    <row r="415" spans="1:96" ht="12.75" customHeight="1"/>
    <row r="416" spans="1:96" ht="12.75" customHeight="1">
      <c r="A416" s="50" t="s">
        <v>624</v>
      </c>
      <c r="B416" s="50"/>
      <c r="C416" s="50"/>
      <c r="D416" s="50" t="s">
        <v>119</v>
      </c>
      <c r="AF416" s="50" t="s">
        <v>1034</v>
      </c>
    </row>
    <row r="417" spans="1:96" ht="12.75" customHeight="1">
      <c r="E417" s="2087"/>
      <c r="F417" s="2087"/>
      <c r="G417" s="2087"/>
      <c r="H417" s="23" t="s">
        <v>120</v>
      </c>
      <c r="I417" s="2087"/>
      <c r="J417" s="2087"/>
      <c r="K417" s="2087"/>
      <c r="L417" s="12" t="s">
        <v>121</v>
      </c>
      <c r="N417" s="141" t="s">
        <v>609</v>
      </c>
      <c r="P417" s="2269">
        <v>0.76</v>
      </c>
      <c r="Q417" s="2269"/>
      <c r="R417" s="2269"/>
      <c r="S417" s="12" t="s">
        <v>122</v>
      </c>
      <c r="W417" s="2076">
        <f>IF(E417&gt;0,(E417*I417),(P417*43560))</f>
        <v>33105.599999999999</v>
      </c>
      <c r="X417" s="2076"/>
      <c r="Y417" s="2076"/>
      <c r="Z417" s="12" t="s">
        <v>123</v>
      </c>
      <c r="AF417" s="2214">
        <f>IF(P417&gt;0,(AG436/P417),(AG436/(W417/43560)))</f>
        <v>117.10526315789474</v>
      </c>
      <c r="AG417" s="2214"/>
      <c r="AH417" s="2214"/>
      <c r="AM417" s="239"/>
    </row>
    <row r="418" spans="1:96" ht="12.5">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2232</v>
      </c>
      <c r="F420" s="1806"/>
      <c r="G420" s="1806"/>
      <c r="H420" s="1806"/>
      <c r="I420" s="2389">
        <v>0.75</v>
      </c>
      <c r="J420" s="2389"/>
      <c r="K420" s="2389"/>
      <c r="L420" s="1806"/>
      <c r="M420" s="254"/>
      <c r="N420" s="1806"/>
      <c r="O420" s="1806"/>
      <c r="P420" s="2422">
        <f>(CS637+CS645+CS661)/I420</f>
        <v>120</v>
      </c>
      <c r="Q420" s="2422"/>
      <c r="R420" s="2422"/>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40">
        <v>1</v>
      </c>
      <c r="Q423" s="2040"/>
      <c r="S423" s="12" t="s">
        <v>194</v>
      </c>
      <c r="AE423" s="2040">
        <v>1</v>
      </c>
      <c r="AF423" s="2040"/>
    </row>
    <row r="424" spans="1:96" ht="12.5">
      <c r="E424" s="12" t="s">
        <v>195</v>
      </c>
      <c r="P424" s="2040">
        <v>0</v>
      </c>
      <c r="Q424" s="2040"/>
      <c r="S424" s="12" t="s">
        <v>136</v>
      </c>
      <c r="AE424" s="2040" t="s">
        <v>625</v>
      </c>
      <c r="AF424" s="2040"/>
    </row>
    <row r="425" spans="1:96" ht="12.5">
      <c r="F425" s="67" t="s">
        <v>137</v>
      </c>
    </row>
    <row r="426" spans="1:96" ht="12.5">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642</v>
      </c>
      <c r="N428" s="39"/>
      <c r="O428" s="39"/>
      <c r="P428" s="235"/>
      <c r="Q428" s="2040" t="s">
        <v>577</v>
      </c>
      <c r="R428" s="204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0" t="s">
        <v>625</v>
      </c>
      <c r="AG429" s="2108"/>
    </row>
    <row r="430" spans="1:96" ht="12.75" customHeight="1">
      <c r="S430" s="25"/>
      <c r="T430" s="25"/>
    </row>
    <row r="431" spans="1:96" ht="12.75" customHeight="1">
      <c r="A431" s="50"/>
      <c r="B431" s="50"/>
      <c r="C431" s="50"/>
      <c r="E431" s="7" t="s">
        <v>316</v>
      </c>
      <c r="Z431" s="2040" t="s">
        <v>705</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0" t="s">
        <v>625</v>
      </c>
      <c r="AA433" s="2040"/>
    </row>
    <row r="434" spans="1:110" ht="12.75" customHeight="1"/>
    <row r="435" spans="1:110" ht="12.75" customHeight="1">
      <c r="A435" s="50" t="s">
        <v>499</v>
      </c>
      <c r="B435" s="50"/>
      <c r="C435" s="50"/>
      <c r="D435" s="50" t="s">
        <v>821</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6">
        <v>89</v>
      </c>
      <c r="AH436" s="2056"/>
      <c r="AI436" s="2056"/>
      <c r="AJ436" s="2056"/>
    </row>
    <row r="437" spans="1:110" ht="12.75" customHeight="1">
      <c r="D437" s="2023" t="s">
        <v>1435</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3"/>
      <c r="AH437" s="2084"/>
      <c r="AI437" s="2084"/>
      <c r="AJ437" s="2084"/>
    </row>
    <row r="438" spans="1:110" ht="12.75" customHeight="1">
      <c r="D438" s="2023" t="s">
        <v>1143</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56">
        <v>88</v>
      </c>
      <c r="AH438" s="2056"/>
      <c r="AI438" s="2056"/>
      <c r="AJ438" s="2056"/>
    </row>
    <row r="439" spans="1:110" ht="12.75" customHeight="1">
      <c r="D439" s="2023" t="s">
        <v>1144</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56">
        <v>88</v>
      </c>
      <c r="AH439" s="2056"/>
      <c r="AI439" s="2056"/>
      <c r="AJ439" s="2056"/>
    </row>
    <row r="440" spans="1:110" ht="12.75" customHeight="1">
      <c r="D440" s="2023" t="s">
        <v>1146</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5">
        <f>IF(ISERROR(AG439/AG438),"",AG439/AG438)</f>
        <v>1</v>
      </c>
      <c r="AH440" s="2075"/>
      <c r="AI440" s="2075"/>
      <c r="AJ440" s="2075"/>
    </row>
    <row r="441" spans="1:110" ht="12.75" customHeight="1">
      <c r="D441" s="2023" t="s">
        <v>1145</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4">
        <f>32739-810</f>
        <v>31929</v>
      </c>
      <c r="AH441" s="2074"/>
      <c r="AI441" s="2074"/>
      <c r="AJ441" s="2074"/>
    </row>
    <row r="442" spans="1:110" ht="12.75" customHeight="1">
      <c r="D442" s="2023" t="s">
        <v>1147</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4">
        <v>31929</v>
      </c>
      <c r="AH442" s="2074"/>
      <c r="AI442" s="2074"/>
      <c r="AJ442" s="2074"/>
    </row>
    <row r="443" spans="1:110" ht="12.75" customHeight="1">
      <c r="D443" s="2023" t="s">
        <v>1148</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5">
        <f>IF(ISERROR(AG442/AG441),"",AG442/AG441)</f>
        <v>1</v>
      </c>
      <c r="AH443" s="2075"/>
      <c r="AI443" s="2075"/>
      <c r="AJ443" s="2075"/>
    </row>
    <row r="444" spans="1:110" ht="12.75" customHeight="1">
      <c r="D444" s="2023" t="s">
        <v>1149</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5">
        <f>MIN(IF(AG440&gt;AG443,AG443,AG440),1)</f>
        <v>1</v>
      </c>
      <c r="AH444" s="2075"/>
      <c r="AI444" s="2075"/>
      <c r="AJ444" s="2075"/>
    </row>
    <row r="445" spans="1:110" ht="12.75" customHeight="1">
      <c r="D445" s="2023" t="s">
        <v>1410</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f>2612+172+211+198+202+801</f>
        <v>4196</v>
      </c>
      <c r="AH445" s="2074"/>
      <c r="AI445" s="2074"/>
      <c r="AJ445" s="2074"/>
    </row>
    <row r="446" spans="1:110" ht="12.75" customHeight="1">
      <c r="D446" s="2073" t="s">
        <v>601</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023" t="s">
        <v>1411</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074">
        <f>308+327+501+136+1648+2284+2286+200+221+316+389+251+810</f>
        <v>9677</v>
      </c>
      <c r="AH447" s="2074"/>
      <c r="AI447" s="2074"/>
      <c r="AJ447" s="207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3" t="s">
        <v>1150</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074">
        <v>3105</v>
      </c>
      <c r="AH448" s="2074"/>
      <c r="AI448" s="2074"/>
      <c r="AJ448" s="207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9" t="s">
        <v>1151</v>
      </c>
      <c r="E449" s="2210"/>
      <c r="F449" s="2210"/>
      <c r="G449" s="2210"/>
      <c r="H449" s="2210"/>
      <c r="I449" s="2210"/>
      <c r="J449" s="2210"/>
      <c r="K449" s="2210"/>
      <c r="L449" s="2210"/>
      <c r="M449" s="2210"/>
      <c r="N449" s="2210"/>
      <c r="O449" s="2210"/>
      <c r="P449" s="2210"/>
      <c r="Q449" s="2210"/>
      <c r="R449" s="2210"/>
      <c r="S449" s="2210"/>
      <c r="T449" s="2210"/>
      <c r="U449" s="2210"/>
      <c r="V449" s="2210"/>
      <c r="W449" s="2210"/>
      <c r="X449" s="2210"/>
      <c r="Y449" s="2210"/>
      <c r="Z449" s="2210"/>
      <c r="AA449" s="2210"/>
      <c r="AB449" s="2210"/>
      <c r="AC449" s="2210"/>
      <c r="AD449" s="2210"/>
      <c r="AE449" s="2210"/>
      <c r="AF449" s="2211"/>
      <c r="AG449" s="2103">
        <f>AG441+AG445+AG447+AG448</f>
        <v>48907</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2" t="s">
        <v>1412</v>
      </c>
      <c r="E450" s="2212"/>
      <c r="F450" s="2212"/>
      <c r="G450" s="2212"/>
      <c r="H450" s="2212"/>
      <c r="I450" s="2212"/>
      <c r="J450" s="2212"/>
      <c r="K450" s="2212"/>
      <c r="L450" s="2212"/>
      <c r="M450" s="2212"/>
      <c r="N450" s="2212"/>
      <c r="O450" s="2212"/>
      <c r="P450" s="2212"/>
      <c r="Q450" s="2212"/>
      <c r="R450" s="2212"/>
      <c r="S450" s="2212"/>
      <c r="T450" s="2212"/>
      <c r="U450" s="2212"/>
      <c r="V450" s="2212"/>
      <c r="W450" s="2212"/>
      <c r="X450" s="2212"/>
      <c r="Y450" s="2212"/>
      <c r="Z450" s="2212"/>
      <c r="AA450" s="2212"/>
      <c r="AB450" s="2212"/>
      <c r="AC450" s="2212"/>
      <c r="AD450" s="2212"/>
      <c r="AE450" s="2212"/>
      <c r="AF450" s="2212"/>
      <c r="AG450" s="2212"/>
      <c r="AH450" s="2212"/>
      <c r="AI450" s="2212"/>
      <c r="AJ450" s="22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3"/>
      <c r="E451" s="2213"/>
      <c r="F451" s="2213"/>
      <c r="G451" s="2213"/>
      <c r="H451" s="2213"/>
      <c r="I451" s="2213"/>
      <c r="J451" s="2213"/>
      <c r="K451" s="2213"/>
      <c r="L451" s="2213"/>
      <c r="M451" s="2213"/>
      <c r="N451" s="2213"/>
      <c r="O451" s="2213"/>
      <c r="P451" s="2213"/>
      <c r="Q451" s="2213"/>
      <c r="R451" s="2213"/>
      <c r="S451" s="2213"/>
      <c r="T451" s="2213"/>
      <c r="U451" s="2213"/>
      <c r="V451" s="2213"/>
      <c r="W451" s="2213"/>
      <c r="X451" s="2213"/>
      <c r="Y451" s="2213"/>
      <c r="Z451" s="2213"/>
      <c r="AA451" s="2213"/>
      <c r="AB451" s="2213"/>
      <c r="AC451" s="2213"/>
      <c r="AD451" s="2213"/>
      <c r="AE451" s="2213"/>
      <c r="AF451" s="2213"/>
      <c r="AG451" s="2213"/>
      <c r="AH451" s="2213"/>
      <c r="AI451" s="2213"/>
      <c r="AJ451" s="22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503319.23595505615</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503319.23595505615</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417382.05617977527</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8"/>
      <c r="C458" s="718"/>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2" t="s">
        <v>730</v>
      </c>
      <c r="E464" s="2100"/>
      <c r="F464" s="2100"/>
      <c r="G464" s="2100"/>
      <c r="H464" s="2100"/>
      <c r="I464" s="2100"/>
      <c r="J464" s="2100"/>
      <c r="K464" s="2100"/>
      <c r="L464" s="2100"/>
      <c r="M464" s="2100"/>
      <c r="N464" s="2100"/>
      <c r="O464" s="2100"/>
      <c r="P464" s="2100"/>
      <c r="Q464" s="2100"/>
      <c r="R464" s="2100"/>
      <c r="S464" s="2100"/>
      <c r="T464" s="2100"/>
      <c r="U464" s="2100"/>
      <c r="V464" s="2101"/>
      <c r="W464" s="2096">
        <v>88</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2" t="s">
        <v>731</v>
      </c>
      <c r="E465" s="2100"/>
      <c r="F465" s="2100"/>
      <c r="G465" s="2100"/>
      <c r="H465" s="2100"/>
      <c r="I465" s="2100"/>
      <c r="J465" s="2100"/>
      <c r="K465" s="2100"/>
      <c r="L465" s="2100"/>
      <c r="M465" s="2100"/>
      <c r="N465" s="2100"/>
      <c r="O465" s="2100"/>
      <c r="P465" s="2100"/>
      <c r="Q465" s="2100"/>
      <c r="R465" s="2100"/>
      <c r="S465" s="2100"/>
      <c r="T465" s="2100"/>
      <c r="U465" s="2100"/>
      <c r="V465" s="2101"/>
      <c r="W465" s="2096">
        <v>0</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2" t="s">
        <v>732</v>
      </c>
      <c r="E466" s="2100"/>
      <c r="F466" s="2100"/>
      <c r="G466" s="2100"/>
      <c r="H466" s="2100"/>
      <c r="I466" s="2100"/>
      <c r="J466" s="2100"/>
      <c r="K466" s="2100"/>
      <c r="L466" s="2100"/>
      <c r="M466" s="2100"/>
      <c r="N466" s="2100"/>
      <c r="O466" s="2100"/>
      <c r="P466" s="2100"/>
      <c r="Q466" s="2100"/>
      <c r="R466" s="2100"/>
      <c r="S466" s="2100"/>
      <c r="T466" s="2100"/>
      <c r="U466" s="2100"/>
      <c r="V466" s="2101"/>
      <c r="W466" s="2096">
        <v>44</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733</v>
      </c>
      <c r="E467" s="2100"/>
      <c r="F467" s="2100"/>
      <c r="G467" s="2100"/>
      <c r="H467" s="2100"/>
      <c r="I467" s="2100"/>
      <c r="J467" s="2100"/>
      <c r="K467" s="2100"/>
      <c r="L467" s="2100"/>
      <c r="M467" s="2100"/>
      <c r="N467" s="2100"/>
      <c r="O467" s="2100"/>
      <c r="P467" s="2100"/>
      <c r="Q467" s="2100"/>
      <c r="R467" s="2100"/>
      <c r="S467" s="2100"/>
      <c r="T467" s="2100"/>
      <c r="U467" s="2100"/>
      <c r="V467" s="2101"/>
      <c r="W467" s="2096">
        <v>0</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945</v>
      </c>
      <c r="E468" s="2100"/>
      <c r="F468" s="2100"/>
      <c r="G468" s="2100"/>
      <c r="H468" s="2100"/>
      <c r="I468" s="2100"/>
      <c r="J468" s="2100"/>
      <c r="K468" s="2100"/>
      <c r="L468" s="2100"/>
      <c r="M468" s="2100"/>
      <c r="N468" s="2100"/>
      <c r="O468" s="2100"/>
      <c r="P468" s="2100"/>
      <c r="Q468" s="2100"/>
      <c r="R468" s="2100"/>
      <c r="S468" s="2100"/>
      <c r="T468" s="2100"/>
      <c r="U468" s="2100"/>
      <c r="V468" s="2101"/>
      <c r="W468" s="2096">
        <v>0</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2" t="s">
        <v>734</v>
      </c>
      <c r="E469" s="2100"/>
      <c r="F469" s="2100"/>
      <c r="G469" s="2100"/>
      <c r="H469" s="2100"/>
      <c r="I469" s="2100"/>
      <c r="J469" s="2100"/>
      <c r="K469" s="2100"/>
      <c r="L469" s="2100"/>
      <c r="M469" s="2100"/>
      <c r="N469" s="2100"/>
      <c r="O469" s="2100"/>
      <c r="P469" s="2100"/>
      <c r="Q469" s="2100"/>
      <c r="R469" s="2100"/>
      <c r="S469" s="2100"/>
      <c r="T469" s="2100"/>
      <c r="U469" s="2100"/>
      <c r="V469" s="2101"/>
      <c r="W469" s="2096">
        <v>0</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2" t="s">
        <v>1117</v>
      </c>
      <c r="E470" s="2100"/>
      <c r="F470" s="2100"/>
      <c r="G470" s="2100"/>
      <c r="H470" s="2100"/>
      <c r="I470" s="2100"/>
      <c r="J470" s="2100"/>
      <c r="K470" s="2100"/>
      <c r="L470" s="2100"/>
      <c r="M470" s="2100"/>
      <c r="N470" s="2100"/>
      <c r="O470" s="2100"/>
      <c r="P470" s="2100"/>
      <c r="Q470" s="2100"/>
      <c r="R470" s="2100"/>
      <c r="S470" s="2100"/>
      <c r="T470" s="2100"/>
      <c r="U470" s="2100"/>
      <c r="V470" s="2101"/>
      <c r="W470" s="2096">
        <v>0</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99" t="s">
        <v>2005</v>
      </c>
      <c r="E471" s="2100"/>
      <c r="F471" s="2100"/>
      <c r="G471" s="2100"/>
      <c r="H471" s="2100"/>
      <c r="I471" s="2100"/>
      <c r="J471" s="2100"/>
      <c r="K471" s="2100"/>
      <c r="L471" s="2100"/>
      <c r="M471" s="2100"/>
      <c r="N471" s="2100"/>
      <c r="O471" s="2100"/>
      <c r="P471" s="2100"/>
      <c r="Q471" s="2100"/>
      <c r="R471" s="2100"/>
      <c r="S471" s="2100"/>
      <c r="T471" s="2100"/>
      <c r="U471" s="2100"/>
      <c r="V471" s="2101"/>
      <c r="W471" s="2096">
        <v>23</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93"/>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59" t="s">
        <v>2667</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t="s">
        <v>2662</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860" t="s">
        <v>2663</v>
      </c>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5" t="s">
        <v>868</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110" t="s">
        <v>869</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182" t="s">
        <v>36</v>
      </c>
      <c r="U484" s="2182"/>
      <c r="V484" s="2182"/>
      <c r="W484" s="2182"/>
      <c r="X484" s="2182"/>
      <c r="Y484" s="2182" t="s">
        <v>37</v>
      </c>
      <c r="Z484" s="2182"/>
      <c r="AA484" s="2182"/>
      <c r="AB484" s="2182"/>
      <c r="AC484" s="2182"/>
      <c r="AD484" s="2182" t="s">
        <v>347</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033" t="s">
        <v>625</v>
      </c>
      <c r="U486" s="2033"/>
      <c r="V486" s="2033"/>
      <c r="W486" s="2033"/>
      <c r="X486" s="2033"/>
      <c r="Y486" s="2033" t="s">
        <v>625</v>
      </c>
      <c r="Z486" s="2033"/>
      <c r="AA486" s="2033"/>
      <c r="AB486" s="2033"/>
      <c r="AC486" s="2033"/>
      <c r="AD486" s="2033" t="s">
        <v>625</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033">
        <v>44347</v>
      </c>
      <c r="U487" s="2033"/>
      <c r="V487" s="2033"/>
      <c r="W487" s="2033"/>
      <c r="X487" s="2033"/>
      <c r="Y487" s="2033">
        <v>44409</v>
      </c>
      <c r="Z487" s="2033"/>
      <c r="AA487" s="2033"/>
      <c r="AB487" s="2033"/>
      <c r="AC487" s="2033"/>
      <c r="AD487" s="2033">
        <v>0</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033" t="s">
        <v>625</v>
      </c>
      <c r="U488" s="2033"/>
      <c r="V488" s="2033"/>
      <c r="W488" s="2033"/>
      <c r="X488" s="2033"/>
      <c r="Y488" s="2033" t="s">
        <v>625</v>
      </c>
      <c r="Z488" s="2033"/>
      <c r="AA488" s="2033"/>
      <c r="AB488" s="2033"/>
      <c r="AC488" s="2033"/>
      <c r="AD488" s="2033" t="s">
        <v>625</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033">
        <v>44175</v>
      </c>
      <c r="U489" s="2033"/>
      <c r="V489" s="2033"/>
      <c r="W489" s="2033"/>
      <c r="X489" s="2033"/>
      <c r="Y489" s="2033">
        <v>44378</v>
      </c>
      <c r="Z489" s="2033"/>
      <c r="AA489" s="2033"/>
      <c r="AB489" s="2033"/>
      <c r="AC489" s="2033"/>
      <c r="AD489" s="2033">
        <v>0</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033" t="s">
        <v>625</v>
      </c>
      <c r="U490" s="2033"/>
      <c r="V490" s="2033"/>
      <c r="W490" s="2033"/>
      <c r="X490" s="2033"/>
      <c r="Y490" s="2033" t="s">
        <v>625</v>
      </c>
      <c r="Z490" s="2033"/>
      <c r="AA490" s="2033"/>
      <c r="AB490" s="2033"/>
      <c r="AC490" s="2033"/>
      <c r="AD490" s="2033" t="s">
        <v>625</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v>44070</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033" t="s">
        <v>625</v>
      </c>
      <c r="U492" s="2033"/>
      <c r="V492" s="2033"/>
      <c r="W492" s="2033"/>
      <c r="X492" s="2033"/>
      <c r="Y492" s="2033" t="s">
        <v>625</v>
      </c>
      <c r="Z492" s="2033"/>
      <c r="AA492" s="2033"/>
      <c r="AB492" s="2033"/>
      <c r="AC492" s="2033"/>
      <c r="AD492" s="2033" t="s">
        <v>625</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033" t="s">
        <v>625</v>
      </c>
      <c r="U493" s="2033"/>
      <c r="V493" s="2033"/>
      <c r="W493" s="2033"/>
      <c r="X493" s="2033"/>
      <c r="Y493" s="2033" t="s">
        <v>625</v>
      </c>
      <c r="Z493" s="2033"/>
      <c r="AA493" s="2033"/>
      <c r="AB493" s="2033"/>
      <c r="AC493" s="2033"/>
      <c r="AD493" s="2033" t="s">
        <v>625</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033" t="s">
        <v>625</v>
      </c>
      <c r="U494" s="2033"/>
      <c r="V494" s="2033"/>
      <c r="W494" s="2033"/>
      <c r="X494" s="2033"/>
      <c r="Y494" s="2033" t="s">
        <v>625</v>
      </c>
      <c r="Z494" s="2033"/>
      <c r="AA494" s="2033"/>
      <c r="AB494" s="2033"/>
      <c r="AC494" s="2033"/>
      <c r="AD494" s="2033" t="s">
        <v>625</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033" t="s">
        <v>625</v>
      </c>
      <c r="U495" s="2033"/>
      <c r="V495" s="2033"/>
      <c r="W495" s="2033"/>
      <c r="X495" s="2033"/>
      <c r="Y495" s="2033" t="s">
        <v>625</v>
      </c>
      <c r="Z495" s="2033"/>
      <c r="AA495" s="2033"/>
      <c r="AB495" s="2033"/>
      <c r="AC495" s="2033"/>
      <c r="AD495" s="2033" t="s">
        <v>625</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4" t="s">
        <v>413</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13" t="s">
        <v>2589</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13" t="s">
        <v>2590</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13" t="s">
        <v>2592</v>
      </c>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9" t="s">
        <v>417</v>
      </c>
      <c r="C501" s="2200"/>
      <c r="D501" s="2200"/>
      <c r="E501" s="2200"/>
      <c r="F501" s="2200"/>
      <c r="G501" s="2200"/>
      <c r="H501" s="2200"/>
      <c r="I501" s="2200"/>
      <c r="J501" s="2200"/>
      <c r="K501" s="2200"/>
      <c r="L501" s="2200"/>
      <c r="M501" s="2200"/>
      <c r="N501" s="2200"/>
      <c r="O501" s="2200"/>
      <c r="P501" s="2201"/>
      <c r="Q501" s="2175" t="s">
        <v>577</v>
      </c>
      <c r="R501" s="2176"/>
      <c r="S501" s="2406" t="s">
        <v>2594</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2"/>
      <c r="C502" s="2203"/>
      <c r="D502" s="2203"/>
      <c r="E502" s="2203"/>
      <c r="F502" s="2203"/>
      <c r="G502" s="2203"/>
      <c r="H502" s="2203"/>
      <c r="I502" s="2203"/>
      <c r="J502" s="2203"/>
      <c r="K502" s="2203"/>
      <c r="L502" s="2203"/>
      <c r="M502" s="2203"/>
      <c r="N502" s="2203"/>
      <c r="O502" s="2203"/>
      <c r="P502" s="2204"/>
      <c r="Q502" s="2177"/>
      <c r="R502" s="2178"/>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5" customHeight="1">
      <c r="B503" s="1522" t="s">
        <v>2025</v>
      </c>
      <c r="C503" s="1490"/>
      <c r="D503" s="1490"/>
      <c r="E503" s="1490"/>
      <c r="F503" s="1490"/>
      <c r="G503" s="1490"/>
      <c r="H503" s="1490"/>
      <c r="I503" s="1490"/>
      <c r="J503" s="1490"/>
      <c r="K503" s="1490"/>
      <c r="L503" s="1490"/>
      <c r="M503" s="1490"/>
      <c r="N503" s="1490"/>
      <c r="O503" s="1490"/>
      <c r="P503" s="1490"/>
      <c r="Q503" s="2080" t="s">
        <v>705</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113" t="s">
        <v>2591</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13" t="s">
        <v>2593</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2022</v>
      </c>
      <c r="C506" s="77"/>
      <c r="D506" s="77"/>
      <c r="E506" s="77"/>
      <c r="F506" s="77"/>
      <c r="G506" s="77"/>
      <c r="H506" s="77"/>
      <c r="I506" s="77"/>
      <c r="J506" s="77"/>
      <c r="K506" s="77"/>
      <c r="L506" s="77"/>
      <c r="M506" s="77"/>
      <c r="N506" s="77"/>
      <c r="O506" s="77"/>
      <c r="P506" s="77"/>
      <c r="Q506" s="2113">
        <v>7</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2023</v>
      </c>
      <c r="C507" s="77"/>
      <c r="D507" s="77"/>
      <c r="E507" s="77"/>
      <c r="F507" s="77"/>
      <c r="G507" s="77"/>
      <c r="H507" s="77"/>
      <c r="I507" s="77"/>
      <c r="J507" s="77"/>
      <c r="K507" s="77"/>
      <c r="L507" s="77"/>
      <c r="M507" s="2135">
        <v>7</v>
      </c>
      <c r="N507" s="2136"/>
      <c r="O507" s="2136"/>
      <c r="P507" s="2137"/>
      <c r="Q507" s="1520" t="s">
        <v>2024</v>
      </c>
      <c r="R507" s="1521"/>
      <c r="S507" s="1521"/>
      <c r="T507" s="1521"/>
      <c r="U507" s="1521"/>
      <c r="V507" s="1521"/>
      <c r="W507" s="1521"/>
      <c r="X507" s="1521"/>
      <c r="Y507" s="1521"/>
      <c r="Z507" s="1521"/>
      <c r="AA507" s="1521"/>
      <c r="AB507" s="1521"/>
      <c r="AC507" s="1521"/>
      <c r="AD507" s="1521"/>
      <c r="AE507" s="1521"/>
      <c r="AF507" s="1521"/>
      <c r="AG507" s="1521"/>
      <c r="AH507" s="2135">
        <v>0</v>
      </c>
      <c r="AI507" s="2136"/>
      <c r="AJ507" s="2136"/>
      <c r="AK507" s="21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421</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422</v>
      </c>
      <c r="AD512" s="2111"/>
      <c r="AE512" s="2111"/>
      <c r="AF512" s="2111"/>
      <c r="AG512" s="82" t="s">
        <v>423</v>
      </c>
      <c r="AH512" s="2111" t="s">
        <v>424</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6" t="s">
        <v>425</v>
      </c>
      <c r="C513" s="2027"/>
      <c r="D513" s="2027"/>
      <c r="E513" s="2027"/>
      <c r="F513" s="2027"/>
      <c r="G513" s="2027"/>
      <c r="H513" s="2028"/>
      <c r="I513" s="72" t="s">
        <v>426</v>
      </c>
      <c r="J513" s="72"/>
      <c r="K513" s="72"/>
      <c r="L513" s="72"/>
      <c r="M513" s="72"/>
      <c r="N513" s="72"/>
      <c r="O513" s="72"/>
      <c r="P513" s="72"/>
      <c r="Q513" s="72"/>
      <c r="R513" s="72"/>
      <c r="S513" s="72"/>
      <c r="T513" s="72"/>
      <c r="U513" s="72"/>
      <c r="V513" s="72"/>
      <c r="W513" s="72"/>
      <c r="X513" s="25"/>
      <c r="Y513" s="25"/>
      <c r="AC513" s="2165">
        <v>6</v>
      </c>
      <c r="AD513" s="2064"/>
      <c r="AE513" s="2064"/>
      <c r="AF513" s="2064"/>
      <c r="AG513" s="75" t="s">
        <v>423</v>
      </c>
      <c r="AH513" s="2060">
        <v>2020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9"/>
      <c r="C514" s="2030"/>
      <c r="D514" s="2030"/>
      <c r="E514" s="2030"/>
      <c r="F514" s="2030"/>
      <c r="G514" s="2030"/>
      <c r="H514" s="2031"/>
      <c r="I514" s="80" t="s">
        <v>427</v>
      </c>
      <c r="J514" s="80"/>
      <c r="K514" s="80"/>
      <c r="L514" s="80"/>
      <c r="M514" s="80"/>
      <c r="N514" s="80"/>
      <c r="O514" s="80"/>
      <c r="P514" s="80"/>
      <c r="Q514" s="80"/>
      <c r="R514" s="80"/>
      <c r="S514" s="80"/>
      <c r="T514" s="80"/>
      <c r="U514" s="80"/>
      <c r="V514" s="80"/>
      <c r="W514" s="80"/>
      <c r="X514" s="80"/>
      <c r="Y514" s="80"/>
      <c r="Z514" s="80"/>
      <c r="AA514" s="80"/>
      <c r="AB514" s="80"/>
      <c r="AC514" s="2165">
        <v>10</v>
      </c>
      <c r="AD514" s="2064"/>
      <c r="AE514" s="2064"/>
      <c r="AF514" s="2064"/>
      <c r="AG514" s="65" t="s">
        <v>423</v>
      </c>
      <c r="AH514" s="2060">
        <v>2020</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6" t="s">
        <v>428</v>
      </c>
      <c r="C515" s="2027"/>
      <c r="D515" s="2027"/>
      <c r="E515" s="2027"/>
      <c r="F515" s="2027"/>
      <c r="G515" s="2027"/>
      <c r="H515" s="2028"/>
      <c r="I515" s="72" t="s">
        <v>429</v>
      </c>
      <c r="J515" s="72"/>
      <c r="K515" s="72"/>
      <c r="L515" s="72"/>
      <c r="M515" s="72"/>
      <c r="N515" s="72"/>
      <c r="O515" s="72"/>
      <c r="P515" s="72"/>
      <c r="Q515" s="72"/>
      <c r="R515" s="72"/>
      <c r="S515" s="72"/>
      <c r="T515" s="72"/>
      <c r="U515" s="72"/>
      <c r="V515" s="72"/>
      <c r="W515" s="72"/>
      <c r="X515" s="25"/>
      <c r="Y515" s="25"/>
      <c r="AC515" s="2165" t="s">
        <v>625</v>
      </c>
      <c r="AD515" s="2064"/>
      <c r="AE515" s="2064"/>
      <c r="AF515" s="2064"/>
      <c r="AG515" s="75" t="s">
        <v>423</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9"/>
      <c r="C516" s="2030"/>
      <c r="D516" s="2030"/>
      <c r="E516" s="2030"/>
      <c r="F516" s="2030"/>
      <c r="G516" s="2030"/>
      <c r="H516" s="2031"/>
      <c r="I516" s="25" t="s">
        <v>430</v>
      </c>
      <c r="J516" s="25"/>
      <c r="K516" s="25"/>
      <c r="L516" s="25"/>
      <c r="M516" s="25"/>
      <c r="N516" s="25"/>
      <c r="O516" s="25"/>
      <c r="P516" s="25"/>
      <c r="Q516" s="25"/>
      <c r="R516" s="25"/>
      <c r="S516" s="25"/>
      <c r="T516" s="25"/>
      <c r="U516" s="25"/>
      <c r="V516" s="25"/>
      <c r="W516" s="25"/>
      <c r="X516" s="25"/>
      <c r="Y516" s="25"/>
      <c r="AC516" s="2165" t="s">
        <v>625</v>
      </c>
      <c r="AD516" s="2064"/>
      <c r="AE516" s="2064"/>
      <c r="AF516" s="2064"/>
      <c r="AG516" s="75" t="s">
        <v>423</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431</v>
      </c>
      <c r="J517" s="25"/>
      <c r="K517" s="25"/>
      <c r="L517" s="25"/>
      <c r="M517" s="25"/>
      <c r="N517" s="25"/>
      <c r="O517" s="25"/>
      <c r="P517" s="25"/>
      <c r="Q517" s="25"/>
      <c r="R517" s="25"/>
      <c r="S517" s="25"/>
      <c r="T517" s="25"/>
      <c r="U517" s="25"/>
      <c r="V517" s="25"/>
      <c r="W517" s="25"/>
      <c r="X517" s="25"/>
      <c r="Y517" s="25"/>
      <c r="AC517" s="2165" t="s">
        <v>625</v>
      </c>
      <c r="AD517" s="2064"/>
      <c r="AE517" s="2064"/>
      <c r="AF517" s="2064"/>
      <c r="AG517" s="75" t="s">
        <v>423</v>
      </c>
      <c r="AH517" s="2060"/>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9"/>
      <c r="C518" s="2030"/>
      <c r="D518" s="2030"/>
      <c r="E518" s="2030"/>
      <c r="F518" s="2030"/>
      <c r="G518" s="2030"/>
      <c r="H518" s="2031"/>
      <c r="I518" s="25" t="s">
        <v>432</v>
      </c>
      <c r="J518" s="25"/>
      <c r="K518" s="25"/>
      <c r="L518" s="25"/>
      <c r="M518" s="25"/>
      <c r="N518" s="25"/>
      <c r="O518" s="25"/>
      <c r="P518" s="25"/>
      <c r="Q518" s="25"/>
      <c r="R518" s="25"/>
      <c r="S518" s="25"/>
      <c r="T518" s="25"/>
      <c r="U518" s="25"/>
      <c r="V518" s="25"/>
      <c r="W518" s="25"/>
      <c r="X518" s="25"/>
      <c r="Y518" s="25"/>
      <c r="AC518" s="2165">
        <v>2</v>
      </c>
      <c r="AD518" s="2064"/>
      <c r="AE518" s="2064"/>
      <c r="AF518" s="2064"/>
      <c r="AG518" s="75" t="s">
        <v>423</v>
      </c>
      <c r="AH518" s="2060">
        <v>2022</v>
      </c>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9"/>
      <c r="C519" s="2030"/>
      <c r="D519" s="2030"/>
      <c r="E519" s="2030"/>
      <c r="F519" s="2030"/>
      <c r="G519" s="2030"/>
      <c r="H519" s="2031"/>
      <c r="I519" s="177" t="s">
        <v>433</v>
      </c>
      <c r="J519" s="25"/>
      <c r="K519" s="25"/>
      <c r="L519" s="25"/>
      <c r="M519" s="25"/>
      <c r="N519" s="25"/>
      <c r="O519" s="25"/>
      <c r="P519" s="25"/>
      <c r="Q519" s="25"/>
      <c r="R519" s="25"/>
      <c r="S519" s="25"/>
      <c r="T519" s="25"/>
      <c r="U519" s="25"/>
      <c r="V519" s="25"/>
      <c r="W519" s="25"/>
      <c r="X519" s="25"/>
      <c r="Y519" s="25"/>
      <c r="AC519" s="2047">
        <v>2</v>
      </c>
      <c r="AD519" s="2048"/>
      <c r="AE519" s="2048"/>
      <c r="AF519" s="2048"/>
      <c r="AG519" s="75" t="s">
        <v>423</v>
      </c>
      <c r="AH519" s="2060">
        <v>2022</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9"/>
      <c r="C520" s="2030"/>
      <c r="D520" s="2030"/>
      <c r="E520" s="2030"/>
      <c r="F520" s="2030"/>
      <c r="G520" s="2030"/>
      <c r="H520" s="2031"/>
      <c r="I520" s="1523" t="s">
        <v>174</v>
      </c>
      <c r="J520" s="80"/>
      <c r="K520" s="80"/>
      <c r="L520" s="2163" t="s">
        <v>342</v>
      </c>
      <c r="M520" s="2105"/>
      <c r="N520" s="2105"/>
      <c r="O520" s="2105"/>
      <c r="P520" s="2105"/>
      <c r="Q520" s="2105"/>
      <c r="R520" s="2105"/>
      <c r="S520" s="2105"/>
      <c r="T520" s="2105"/>
      <c r="U520" s="2105"/>
      <c r="V520" s="2105"/>
      <c r="W520" s="2105"/>
      <c r="X520" s="2105"/>
      <c r="Y520" s="2105"/>
      <c r="Z520" s="2105"/>
      <c r="AA520" s="2105"/>
      <c r="AB520" s="2164"/>
      <c r="AC520" s="2165" t="s">
        <v>625</v>
      </c>
      <c r="AD520" s="2064"/>
      <c r="AE520" s="2064"/>
      <c r="AF520" s="2064"/>
      <c r="AG520" s="1494" t="s">
        <v>423</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056" t="s">
        <v>577</v>
      </c>
      <c r="AD521" s="2056"/>
      <c r="AE521" s="2056"/>
      <c r="AF521" s="2056"/>
      <c r="AG521" s="1786"/>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2026</v>
      </c>
      <c r="J522" s="25"/>
      <c r="K522" s="25"/>
      <c r="L522" s="25"/>
      <c r="M522" s="25"/>
      <c r="N522" s="25"/>
      <c r="O522" s="25"/>
      <c r="P522" s="25"/>
      <c r="Q522" s="25"/>
      <c r="R522" s="25"/>
      <c r="S522" s="25"/>
      <c r="T522" s="25"/>
      <c r="U522" s="25"/>
      <c r="V522" s="25"/>
      <c r="W522" s="25"/>
      <c r="X522" s="25"/>
      <c r="Y522" s="25"/>
      <c r="AC522" s="2047">
        <v>2</v>
      </c>
      <c r="AD522" s="2048"/>
      <c r="AE522" s="2048"/>
      <c r="AF522" s="2049"/>
      <c r="AG522" s="1786"/>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050" t="s">
        <v>2661</v>
      </c>
      <c r="AD524" s="2051"/>
      <c r="AE524" s="2051"/>
      <c r="AF524" s="2052"/>
      <c r="AG524" s="1787"/>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7" t="s">
        <v>422</v>
      </c>
      <c r="AD525" s="2158"/>
      <c r="AE525" s="2158"/>
      <c r="AF525" s="2158"/>
      <c r="AG525" s="1787" t="s">
        <v>423</v>
      </c>
      <c r="AH525" s="2158" t="s">
        <v>424</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434</v>
      </c>
      <c r="C526" s="2027"/>
      <c r="D526" s="2027"/>
      <c r="E526" s="2027"/>
      <c r="F526" s="2027"/>
      <c r="G526" s="2027"/>
      <c r="H526" s="2028"/>
      <c r="I526" s="72" t="s">
        <v>435</v>
      </c>
      <c r="J526" s="72"/>
      <c r="K526" s="72"/>
      <c r="L526" s="72"/>
      <c r="M526" s="72"/>
      <c r="N526" s="72"/>
      <c r="O526" s="72"/>
      <c r="P526" s="72"/>
      <c r="Q526" s="72"/>
      <c r="R526" s="72"/>
      <c r="S526" s="72"/>
      <c r="T526" s="72"/>
      <c r="U526" s="72"/>
      <c r="V526" s="72"/>
      <c r="W526" s="72"/>
      <c r="X526" s="25"/>
      <c r="Y526" s="25"/>
      <c r="AC526" s="2165">
        <v>5</v>
      </c>
      <c r="AD526" s="2064"/>
      <c r="AE526" s="2064"/>
      <c r="AF526" s="2064"/>
      <c r="AG526" s="75" t="s">
        <v>423</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9"/>
      <c r="C527" s="2030"/>
      <c r="D527" s="2030"/>
      <c r="E527" s="2030"/>
      <c r="F527" s="2030"/>
      <c r="G527" s="2030"/>
      <c r="H527" s="2031"/>
      <c r="I527" s="25" t="s">
        <v>436</v>
      </c>
      <c r="J527" s="25"/>
      <c r="K527" s="25"/>
      <c r="L527" s="25"/>
      <c r="M527" s="25"/>
      <c r="N527" s="25"/>
      <c r="O527" s="25"/>
      <c r="P527" s="25"/>
      <c r="Q527" s="25"/>
      <c r="R527" s="25"/>
      <c r="S527" s="25"/>
      <c r="T527" s="25"/>
      <c r="U527" s="25"/>
      <c r="V527" s="25"/>
      <c r="W527" s="25"/>
      <c r="X527" s="25"/>
      <c r="Y527" s="25"/>
      <c r="AC527" s="2165">
        <v>5</v>
      </c>
      <c r="AD527" s="2064"/>
      <c r="AE527" s="2064"/>
      <c r="AF527" s="2064"/>
      <c r="AG527" s="75" t="s">
        <v>423</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9"/>
      <c r="C528" s="2030"/>
      <c r="D528" s="2030"/>
      <c r="E528" s="2030"/>
      <c r="F528" s="2030"/>
      <c r="G528" s="2030"/>
      <c r="H528" s="2031"/>
      <c r="I528" s="80" t="s">
        <v>437</v>
      </c>
      <c r="J528" s="80"/>
      <c r="K528" s="80"/>
      <c r="L528" s="80"/>
      <c r="M528" s="80"/>
      <c r="N528" s="80"/>
      <c r="O528" s="80"/>
      <c r="P528" s="80"/>
      <c r="Q528" s="80"/>
      <c r="R528" s="80"/>
      <c r="S528" s="80"/>
      <c r="T528" s="80"/>
      <c r="U528" s="80"/>
      <c r="V528" s="80"/>
      <c r="W528" s="80"/>
      <c r="X528" s="80"/>
      <c r="Y528" s="80"/>
      <c r="Z528" s="80"/>
      <c r="AA528" s="80"/>
      <c r="AB528" s="80"/>
      <c r="AC528" s="2165">
        <v>2</v>
      </c>
      <c r="AD528" s="2064"/>
      <c r="AE528" s="2064"/>
      <c r="AF528" s="2064"/>
      <c r="AG528" s="65" t="s">
        <v>423</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6" t="s">
        <v>438</v>
      </c>
      <c r="C529" s="2027"/>
      <c r="D529" s="2027"/>
      <c r="E529" s="2027"/>
      <c r="F529" s="2027"/>
      <c r="G529" s="2027"/>
      <c r="H529" s="2028"/>
      <c r="I529" s="72" t="s">
        <v>435</v>
      </c>
      <c r="J529" s="72"/>
      <c r="K529" s="72"/>
      <c r="L529" s="72"/>
      <c r="M529" s="72"/>
      <c r="N529" s="72"/>
      <c r="O529" s="72"/>
      <c r="P529" s="72"/>
      <c r="Q529" s="72"/>
      <c r="R529" s="72"/>
      <c r="S529" s="72"/>
      <c r="T529" s="72"/>
      <c r="U529" s="72"/>
      <c r="V529" s="72"/>
      <c r="W529" s="72"/>
      <c r="X529" s="72"/>
      <c r="Y529" s="72"/>
      <c r="Z529" s="72"/>
      <c r="AA529" s="72"/>
      <c r="AB529" s="72"/>
      <c r="AC529" s="2165">
        <v>5</v>
      </c>
      <c r="AD529" s="2064"/>
      <c r="AE529" s="2064"/>
      <c r="AF529" s="2064"/>
      <c r="AG529" s="196" t="s">
        <v>423</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9"/>
      <c r="C530" s="2030"/>
      <c r="D530" s="2030"/>
      <c r="E530" s="2030"/>
      <c r="F530" s="2030"/>
      <c r="G530" s="2030"/>
      <c r="H530" s="2031"/>
      <c r="I530" s="25" t="s">
        <v>436</v>
      </c>
      <c r="J530" s="25"/>
      <c r="K530" s="25"/>
      <c r="L530" s="25"/>
      <c r="M530" s="25"/>
      <c r="N530" s="25"/>
      <c r="O530" s="25"/>
      <c r="P530" s="25"/>
      <c r="Q530" s="25"/>
      <c r="R530" s="25"/>
      <c r="S530" s="25"/>
      <c r="T530" s="25"/>
      <c r="U530" s="25"/>
      <c r="V530" s="25"/>
      <c r="W530" s="25"/>
      <c r="X530" s="25"/>
      <c r="Y530" s="25"/>
      <c r="Z530" s="25"/>
      <c r="AA530" s="25"/>
      <c r="AB530" s="25"/>
      <c r="AC530" s="2165">
        <v>5</v>
      </c>
      <c r="AD530" s="2064"/>
      <c r="AE530" s="2064"/>
      <c r="AF530" s="2064"/>
      <c r="AG530" s="75" t="s">
        <v>423</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79"/>
      <c r="C531" s="2180"/>
      <c r="D531" s="2180"/>
      <c r="E531" s="2180"/>
      <c r="F531" s="2180"/>
      <c r="G531" s="2180"/>
      <c r="H531" s="2181"/>
      <c r="I531" s="80" t="s">
        <v>437</v>
      </c>
      <c r="J531" s="80"/>
      <c r="K531" s="80"/>
      <c r="L531" s="80"/>
      <c r="M531" s="80"/>
      <c r="N531" s="80"/>
      <c r="O531" s="80"/>
      <c r="P531" s="80"/>
      <c r="Q531" s="80"/>
      <c r="R531" s="80"/>
      <c r="S531" s="80"/>
      <c r="T531" s="80"/>
      <c r="U531" s="80"/>
      <c r="V531" s="80"/>
      <c r="W531" s="80"/>
      <c r="X531" s="80"/>
      <c r="Y531" s="80"/>
      <c r="Z531" s="80"/>
      <c r="AA531" s="80"/>
      <c r="AB531" s="80"/>
      <c r="AC531" s="2165">
        <v>2</v>
      </c>
      <c r="AD531" s="2064"/>
      <c r="AE531" s="2064"/>
      <c r="AF531" s="2064"/>
      <c r="AG531" s="65" t="s">
        <v>423</v>
      </c>
      <c r="AH531" s="2060">
        <v>2022</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6" t="s">
        <v>439</v>
      </c>
      <c r="C532" s="2027"/>
      <c r="D532" s="2027"/>
      <c r="E532" s="2027"/>
      <c r="F532" s="2027"/>
      <c r="G532" s="2027"/>
      <c r="H532" s="2028"/>
      <c r="I532" s="71" t="s">
        <v>440</v>
      </c>
      <c r="J532" s="72"/>
      <c r="K532" s="72"/>
      <c r="L532" s="72"/>
      <c r="M532" s="72"/>
      <c r="N532" s="72"/>
      <c r="O532" s="2134" t="s">
        <v>2595</v>
      </c>
      <c r="P532" s="2044"/>
      <c r="Q532" s="2044"/>
      <c r="R532" s="2044"/>
      <c r="S532" s="2044"/>
      <c r="T532" s="2044"/>
      <c r="U532" s="2044"/>
      <c r="V532" s="2044"/>
      <c r="W532" s="2044"/>
      <c r="X532" s="2044"/>
      <c r="Y532" s="2044"/>
      <c r="Z532" s="2044"/>
      <c r="AA532" s="2044"/>
      <c r="AB532" s="94"/>
      <c r="AC532" s="2047"/>
      <c r="AD532" s="2048"/>
      <c r="AE532" s="2048"/>
      <c r="AF532" s="2048"/>
      <c r="AG532" s="196" t="s">
        <v>423</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9"/>
      <c r="C533" s="2030"/>
      <c r="D533" s="2030"/>
      <c r="E533" s="2030"/>
      <c r="F533" s="2030"/>
      <c r="G533" s="2030"/>
      <c r="H533" s="2031"/>
      <c r="I533" s="171" t="s">
        <v>441</v>
      </c>
      <c r="J533" s="25"/>
      <c r="K533" s="25"/>
      <c r="L533" s="25"/>
      <c r="M533" s="25"/>
      <c r="N533" s="25"/>
      <c r="O533" s="25"/>
      <c r="P533" s="25"/>
      <c r="Q533" s="25"/>
      <c r="R533" s="25"/>
      <c r="S533" s="25"/>
      <c r="T533" s="25"/>
      <c r="U533" s="25"/>
      <c r="V533" s="25"/>
      <c r="W533" s="25"/>
      <c r="X533" s="25"/>
      <c r="Y533" s="25"/>
      <c r="Z533" s="25"/>
      <c r="AA533" s="25"/>
      <c r="AB533" s="101"/>
      <c r="AC533" s="2165">
        <v>6</v>
      </c>
      <c r="AD533" s="2064"/>
      <c r="AE533" s="2064"/>
      <c r="AF533" s="2064"/>
      <c r="AG533" s="75" t="s">
        <v>423</v>
      </c>
      <c r="AH533" s="2060">
        <v>2020</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9"/>
      <c r="C534" s="2030"/>
      <c r="D534" s="2030"/>
      <c r="E534" s="2030"/>
      <c r="F534" s="2030"/>
      <c r="G534" s="2030"/>
      <c r="H534" s="2031"/>
      <c r="I534" s="79" t="s">
        <v>442</v>
      </c>
      <c r="J534" s="80"/>
      <c r="K534" s="80"/>
      <c r="L534" s="80"/>
      <c r="M534" s="80"/>
      <c r="N534" s="80"/>
      <c r="O534" s="80"/>
      <c r="P534" s="80"/>
      <c r="Q534" s="80"/>
      <c r="R534" s="80"/>
      <c r="S534" s="80"/>
      <c r="T534" s="80"/>
      <c r="U534" s="80"/>
      <c r="V534" s="80"/>
      <c r="W534" s="80"/>
      <c r="X534" s="80"/>
      <c r="Y534" s="80"/>
      <c r="Z534" s="80"/>
      <c r="AA534" s="80"/>
      <c r="AB534" s="81"/>
      <c r="AC534" s="2165">
        <v>9</v>
      </c>
      <c r="AD534" s="2064"/>
      <c r="AE534" s="2064"/>
      <c r="AF534" s="2064"/>
      <c r="AG534" s="65" t="s">
        <v>423</v>
      </c>
      <c r="AH534" s="2060">
        <v>2020</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9"/>
      <c r="C535" s="2030"/>
      <c r="D535" s="2030"/>
      <c r="E535" s="2030"/>
      <c r="F535" s="2030"/>
      <c r="G535" s="2030"/>
      <c r="H535" s="2031"/>
      <c r="I535" s="72" t="s">
        <v>443</v>
      </c>
      <c r="J535" s="72"/>
      <c r="K535" s="72"/>
      <c r="L535" s="72"/>
      <c r="M535" s="72"/>
      <c r="N535" s="72"/>
      <c r="O535" s="2041" t="s">
        <v>2596</v>
      </c>
      <c r="P535" s="2042"/>
      <c r="Q535" s="2042"/>
      <c r="R535" s="2042"/>
      <c r="S535" s="2042"/>
      <c r="T535" s="2042"/>
      <c r="U535" s="2042"/>
      <c r="V535" s="2042"/>
      <c r="W535" s="2042"/>
      <c r="X535" s="2042"/>
      <c r="Y535" s="2042"/>
      <c r="Z535" s="2042"/>
      <c r="AA535" s="2042"/>
      <c r="AC535" s="2165"/>
      <c r="AD535" s="2064"/>
      <c r="AE535" s="2064"/>
      <c r="AF535" s="2064"/>
      <c r="AG535" s="75" t="s">
        <v>423</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9"/>
      <c r="C536" s="2030"/>
      <c r="D536" s="2030"/>
      <c r="E536" s="2030"/>
      <c r="F536" s="2030"/>
      <c r="G536" s="2030"/>
      <c r="H536" s="2031"/>
      <c r="I536" s="25" t="s">
        <v>441</v>
      </c>
      <c r="J536" s="25"/>
      <c r="K536" s="25"/>
      <c r="L536" s="25"/>
      <c r="M536" s="25"/>
      <c r="N536" s="25"/>
      <c r="O536" s="25"/>
      <c r="P536" s="25"/>
      <c r="Q536" s="25"/>
      <c r="R536" s="25"/>
      <c r="S536" s="25"/>
      <c r="T536" s="25"/>
      <c r="U536" s="25"/>
      <c r="V536" s="25"/>
      <c r="W536" s="25"/>
      <c r="X536" s="25"/>
      <c r="Y536" s="25"/>
      <c r="AC536" s="2165">
        <v>11</v>
      </c>
      <c r="AD536" s="2064"/>
      <c r="AE536" s="2064"/>
      <c r="AF536" s="2064"/>
      <c r="AG536" s="75" t="s">
        <v>423</v>
      </c>
      <c r="AH536" s="2060">
        <v>2020</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9"/>
      <c r="C537" s="2030"/>
      <c r="D537" s="2030"/>
      <c r="E537" s="2030"/>
      <c r="F537" s="2030"/>
      <c r="G537" s="2030"/>
      <c r="H537" s="2031"/>
      <c r="I537" s="80" t="s">
        <v>442</v>
      </c>
      <c r="J537" s="80"/>
      <c r="K537" s="80"/>
      <c r="L537" s="80"/>
      <c r="M537" s="80"/>
      <c r="N537" s="80"/>
      <c r="O537" s="80"/>
      <c r="P537" s="80"/>
      <c r="Q537" s="80"/>
      <c r="R537" s="80"/>
      <c r="S537" s="80"/>
      <c r="T537" s="80"/>
      <c r="U537" s="80"/>
      <c r="V537" s="80"/>
      <c r="W537" s="80"/>
      <c r="X537" s="80"/>
      <c r="Y537" s="80"/>
      <c r="Z537" s="80"/>
      <c r="AA537" s="80"/>
      <c r="AB537" s="80"/>
      <c r="AC537" s="2165">
        <v>5</v>
      </c>
      <c r="AD537" s="2064"/>
      <c r="AE537" s="2064"/>
      <c r="AF537" s="2064"/>
      <c r="AG537" s="65" t="s">
        <v>423</v>
      </c>
      <c r="AH537" s="2060">
        <v>2021</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9"/>
      <c r="C538" s="2030"/>
      <c r="D538" s="2030"/>
      <c r="E538" s="2030"/>
      <c r="F538" s="2030"/>
      <c r="G538" s="2030"/>
      <c r="H538" s="2031"/>
      <c r="I538" s="72" t="s">
        <v>443</v>
      </c>
      <c r="J538" s="72"/>
      <c r="K538" s="72"/>
      <c r="L538" s="72"/>
      <c r="M538" s="72"/>
      <c r="N538" s="72"/>
      <c r="O538" s="2041" t="s">
        <v>2597</v>
      </c>
      <c r="P538" s="2042"/>
      <c r="Q538" s="2042"/>
      <c r="R538" s="2042"/>
      <c r="S538" s="2042"/>
      <c r="T538" s="2042"/>
      <c r="U538" s="2042"/>
      <c r="V538" s="2042"/>
      <c r="W538" s="2042"/>
      <c r="X538" s="2042"/>
      <c r="Y538" s="2042"/>
      <c r="Z538" s="2042"/>
      <c r="AA538" s="2042"/>
      <c r="AC538" s="2165"/>
      <c r="AD538" s="2064"/>
      <c r="AE538" s="2064"/>
      <c r="AF538" s="2064"/>
      <c r="AG538" s="75" t="s">
        <v>423</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9"/>
      <c r="C539" s="2030"/>
      <c r="D539" s="2030"/>
      <c r="E539" s="2030"/>
      <c r="F539" s="2030"/>
      <c r="G539" s="2030"/>
      <c r="H539" s="2031"/>
      <c r="I539" s="25" t="s">
        <v>441</v>
      </c>
      <c r="J539" s="25"/>
      <c r="K539" s="25"/>
      <c r="L539" s="25"/>
      <c r="M539" s="25"/>
      <c r="N539" s="25"/>
      <c r="O539" s="25"/>
      <c r="P539" s="25"/>
      <c r="Q539" s="25"/>
      <c r="R539" s="25"/>
      <c r="S539" s="25"/>
      <c r="T539" s="25"/>
      <c r="U539" s="25"/>
      <c r="V539" s="25"/>
      <c r="W539" s="25"/>
      <c r="X539" s="25"/>
      <c r="Y539" s="25"/>
      <c r="AC539" s="2165">
        <v>4</v>
      </c>
      <c r="AD539" s="2064"/>
      <c r="AE539" s="2064"/>
      <c r="AF539" s="2064"/>
      <c r="AG539" s="75" t="s">
        <v>423</v>
      </c>
      <c r="AH539" s="2060">
        <v>2021</v>
      </c>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9"/>
      <c r="C540" s="2030"/>
      <c r="D540" s="2030"/>
      <c r="E540" s="2030"/>
      <c r="F540" s="2030"/>
      <c r="G540" s="2030"/>
      <c r="H540" s="2031"/>
      <c r="I540" s="80" t="s">
        <v>442</v>
      </c>
      <c r="J540" s="80"/>
      <c r="K540" s="80"/>
      <c r="L540" s="80"/>
      <c r="M540" s="80"/>
      <c r="N540" s="80"/>
      <c r="O540" s="80"/>
      <c r="P540" s="80"/>
      <c r="Q540" s="80"/>
      <c r="R540" s="80"/>
      <c r="S540" s="80"/>
      <c r="T540" s="80"/>
      <c r="U540" s="80"/>
      <c r="V540" s="80"/>
      <c r="W540" s="80"/>
      <c r="X540" s="80"/>
      <c r="Y540" s="80"/>
      <c r="Z540" s="80"/>
      <c r="AA540" s="80"/>
      <c r="AB540" s="80"/>
      <c r="AC540" s="2165">
        <v>5</v>
      </c>
      <c r="AD540" s="2064"/>
      <c r="AE540" s="2064"/>
      <c r="AF540" s="2064"/>
      <c r="AG540" s="65" t="s">
        <v>423</v>
      </c>
      <c r="AH540" s="2060">
        <v>2021</v>
      </c>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9"/>
      <c r="C541" s="2030"/>
      <c r="D541" s="2030"/>
      <c r="E541" s="2030"/>
      <c r="F541" s="2030"/>
      <c r="G541" s="2030"/>
      <c r="H541" s="2031"/>
      <c r="I541" s="72" t="s">
        <v>443</v>
      </c>
      <c r="J541" s="72"/>
      <c r="K541" s="72"/>
      <c r="L541" s="72"/>
      <c r="M541" s="72"/>
      <c r="N541" s="72"/>
      <c r="O541" s="2042"/>
      <c r="P541" s="2042"/>
      <c r="Q541" s="2042"/>
      <c r="R541" s="2042"/>
      <c r="S541" s="2042"/>
      <c r="T541" s="2042"/>
      <c r="U541" s="2042"/>
      <c r="V541" s="2042"/>
      <c r="W541" s="2042"/>
      <c r="X541" s="2042"/>
      <c r="Y541" s="2042"/>
      <c r="Z541" s="2042"/>
      <c r="AA541" s="2042"/>
      <c r="AC541" s="2165" t="s">
        <v>625</v>
      </c>
      <c r="AD541" s="2064"/>
      <c r="AE541" s="2064"/>
      <c r="AF541" s="2064"/>
      <c r="AG541" s="75" t="s">
        <v>423</v>
      </c>
      <c r="AH541" s="2165" t="s">
        <v>625</v>
      </c>
      <c r="AI541" s="2064"/>
      <c r="AJ541" s="2064"/>
      <c r="AK541" s="206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9"/>
      <c r="C542" s="2030"/>
      <c r="D542" s="2030"/>
      <c r="E542" s="2030"/>
      <c r="F542" s="2030"/>
      <c r="G542" s="2030"/>
      <c r="H542" s="2031"/>
      <c r="I542" s="25" t="s">
        <v>441</v>
      </c>
      <c r="J542" s="25"/>
      <c r="K542" s="25"/>
      <c r="L542" s="25"/>
      <c r="M542" s="25"/>
      <c r="N542" s="25"/>
      <c r="O542" s="25"/>
      <c r="P542" s="25"/>
      <c r="Q542" s="25"/>
      <c r="R542" s="25"/>
      <c r="S542" s="25"/>
      <c r="T542" s="25"/>
      <c r="U542" s="25"/>
      <c r="V542" s="25"/>
      <c r="W542" s="25"/>
      <c r="X542" s="25"/>
      <c r="Y542" s="25"/>
      <c r="AC542" s="2165" t="s">
        <v>625</v>
      </c>
      <c r="AD542" s="2064"/>
      <c r="AE542" s="2064"/>
      <c r="AF542" s="2064"/>
      <c r="AG542" s="75" t="s">
        <v>423</v>
      </c>
      <c r="AH542" s="2165" t="s">
        <v>625</v>
      </c>
      <c r="AI542" s="2064"/>
      <c r="AJ542" s="2064"/>
      <c r="AK542" s="206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9"/>
      <c r="C543" s="2030"/>
      <c r="D543" s="2030"/>
      <c r="E543" s="2030"/>
      <c r="F543" s="2030"/>
      <c r="G543" s="2030"/>
      <c r="H543" s="2031"/>
      <c r="I543" s="80" t="s">
        <v>442</v>
      </c>
      <c r="J543" s="80"/>
      <c r="K543" s="80"/>
      <c r="L543" s="80"/>
      <c r="M543" s="80"/>
      <c r="N543" s="80"/>
      <c r="O543" s="80"/>
      <c r="P543" s="80"/>
      <c r="Q543" s="80"/>
      <c r="R543" s="80"/>
      <c r="S543" s="80"/>
      <c r="T543" s="80"/>
      <c r="U543" s="80"/>
      <c r="V543" s="80"/>
      <c r="W543" s="80"/>
      <c r="X543" s="80"/>
      <c r="Y543" s="80"/>
      <c r="Z543" s="80"/>
      <c r="AA543" s="80"/>
      <c r="AB543" s="80"/>
      <c r="AC543" s="2165" t="s">
        <v>625</v>
      </c>
      <c r="AD543" s="2064"/>
      <c r="AE543" s="2064"/>
      <c r="AF543" s="2064"/>
      <c r="AG543" s="65" t="s">
        <v>423</v>
      </c>
      <c r="AH543" s="2165" t="s">
        <v>625</v>
      </c>
      <c r="AI543" s="2064"/>
      <c r="AJ543" s="2064"/>
      <c r="AK543" s="206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9"/>
      <c r="C544" s="2030"/>
      <c r="D544" s="2030"/>
      <c r="E544" s="2030"/>
      <c r="F544" s="2030"/>
      <c r="G544" s="2030"/>
      <c r="H544" s="2031"/>
      <c r="I544" s="72" t="s">
        <v>443</v>
      </c>
      <c r="J544" s="72"/>
      <c r="K544" s="72"/>
      <c r="L544" s="72"/>
      <c r="M544" s="72"/>
      <c r="N544" s="72"/>
      <c r="O544" s="2042"/>
      <c r="P544" s="2042"/>
      <c r="Q544" s="2042"/>
      <c r="R544" s="2042"/>
      <c r="S544" s="2042"/>
      <c r="T544" s="2042"/>
      <c r="U544" s="2042"/>
      <c r="V544" s="2042"/>
      <c r="W544" s="2042"/>
      <c r="X544" s="2042"/>
      <c r="Y544" s="2042"/>
      <c r="Z544" s="2042"/>
      <c r="AA544" s="2042"/>
      <c r="AC544" s="2165" t="s">
        <v>625</v>
      </c>
      <c r="AD544" s="2064"/>
      <c r="AE544" s="2064"/>
      <c r="AF544" s="2064"/>
      <c r="AG544" s="75" t="s">
        <v>423</v>
      </c>
      <c r="AH544" s="2165" t="s">
        <v>625</v>
      </c>
      <c r="AI544" s="2064"/>
      <c r="AJ544" s="2064"/>
      <c r="AK544" s="206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9"/>
      <c r="C545" s="2030"/>
      <c r="D545" s="2030"/>
      <c r="E545" s="2030"/>
      <c r="F545" s="2030"/>
      <c r="G545" s="2030"/>
      <c r="H545" s="2031"/>
      <c r="I545" s="25" t="s">
        <v>441</v>
      </c>
      <c r="J545" s="25"/>
      <c r="K545" s="25"/>
      <c r="L545" s="25"/>
      <c r="M545" s="25"/>
      <c r="N545" s="25"/>
      <c r="O545" s="25"/>
      <c r="P545" s="25"/>
      <c r="Q545" s="25"/>
      <c r="R545" s="25"/>
      <c r="S545" s="25"/>
      <c r="T545" s="25"/>
      <c r="U545" s="25"/>
      <c r="V545" s="25"/>
      <c r="W545" s="25"/>
      <c r="X545" s="25"/>
      <c r="Y545" s="25"/>
      <c r="AC545" s="2165" t="s">
        <v>625</v>
      </c>
      <c r="AD545" s="2064"/>
      <c r="AE545" s="2064"/>
      <c r="AF545" s="2064"/>
      <c r="AG545" s="65" t="s">
        <v>423</v>
      </c>
      <c r="AH545" s="2165" t="s">
        <v>625</v>
      </c>
      <c r="AI545" s="2064"/>
      <c r="AJ545" s="2064"/>
      <c r="AK545" s="206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9"/>
      <c r="C546" s="2030"/>
      <c r="D546" s="2030"/>
      <c r="E546" s="2030"/>
      <c r="F546" s="2030"/>
      <c r="G546" s="2030"/>
      <c r="H546" s="2031"/>
      <c r="I546" s="80" t="s">
        <v>442</v>
      </c>
      <c r="J546" s="80"/>
      <c r="K546" s="80"/>
      <c r="L546" s="80"/>
      <c r="M546" s="80"/>
      <c r="N546" s="80"/>
      <c r="O546" s="80"/>
      <c r="P546" s="80"/>
      <c r="Q546" s="80"/>
      <c r="R546" s="80"/>
      <c r="S546" s="80"/>
      <c r="T546" s="80"/>
      <c r="U546" s="80"/>
      <c r="V546" s="80"/>
      <c r="W546" s="80"/>
      <c r="X546" s="80"/>
      <c r="Y546" s="80"/>
      <c r="Z546" s="80"/>
      <c r="AA546" s="80"/>
      <c r="AB546" s="80"/>
      <c r="AC546" s="2165" t="s">
        <v>625</v>
      </c>
      <c r="AD546" s="2064"/>
      <c r="AE546" s="2064"/>
      <c r="AF546" s="2064"/>
      <c r="AG546" s="75" t="s">
        <v>423</v>
      </c>
      <c r="AH546" s="2165" t="s">
        <v>625</v>
      </c>
      <c r="AI546" s="2064"/>
      <c r="AJ546" s="2064"/>
      <c r="AK546" s="206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9"/>
      <c r="C547" s="2030"/>
      <c r="D547" s="2030"/>
      <c r="E547" s="2030"/>
      <c r="F547" s="2030"/>
      <c r="G547" s="2030"/>
      <c r="H547" s="2031"/>
      <c r="I547" s="72" t="s">
        <v>443</v>
      </c>
      <c r="J547" s="72"/>
      <c r="K547" s="72"/>
      <c r="L547" s="72"/>
      <c r="M547" s="72"/>
      <c r="N547" s="72"/>
      <c r="O547" s="2042"/>
      <c r="P547" s="2042"/>
      <c r="Q547" s="2042"/>
      <c r="R547" s="2042"/>
      <c r="S547" s="2042"/>
      <c r="T547" s="2042"/>
      <c r="U547" s="2042"/>
      <c r="V547" s="2042"/>
      <c r="W547" s="2042"/>
      <c r="X547" s="2042"/>
      <c r="Y547" s="2042"/>
      <c r="Z547" s="2042"/>
      <c r="AA547" s="2042"/>
      <c r="AC547" s="2165" t="s">
        <v>625</v>
      </c>
      <c r="AD547" s="2064"/>
      <c r="AE547" s="2064"/>
      <c r="AF547" s="2064"/>
      <c r="AG547" s="65" t="s">
        <v>423</v>
      </c>
      <c r="AH547" s="2165" t="s">
        <v>625</v>
      </c>
      <c r="AI547" s="2064"/>
      <c r="AJ547" s="2064"/>
      <c r="AK547" s="206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9"/>
      <c r="C548" s="2030"/>
      <c r="D548" s="2030"/>
      <c r="E548" s="2030"/>
      <c r="F548" s="2030"/>
      <c r="G548" s="2030"/>
      <c r="H548" s="2031"/>
      <c r="I548" s="25" t="s">
        <v>441</v>
      </c>
      <c r="J548" s="25"/>
      <c r="K548" s="25"/>
      <c r="L548" s="25"/>
      <c r="M548" s="25"/>
      <c r="N548" s="25"/>
      <c r="O548" s="25"/>
      <c r="P548" s="25"/>
      <c r="Q548" s="25"/>
      <c r="R548" s="25"/>
      <c r="S548" s="25"/>
      <c r="T548" s="25"/>
      <c r="U548" s="25"/>
      <c r="V548" s="25"/>
      <c r="W548" s="25"/>
      <c r="X548" s="25"/>
      <c r="Y548" s="25"/>
      <c r="AC548" s="2165" t="s">
        <v>625</v>
      </c>
      <c r="AD548" s="2064"/>
      <c r="AE548" s="2064"/>
      <c r="AF548" s="2064"/>
      <c r="AG548" s="75" t="s">
        <v>423</v>
      </c>
      <c r="AH548" s="2165" t="s">
        <v>625</v>
      </c>
      <c r="AI548" s="2064"/>
      <c r="AJ548" s="2064"/>
      <c r="AK548" s="206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9"/>
      <c r="C549" s="2030"/>
      <c r="D549" s="2030"/>
      <c r="E549" s="2030"/>
      <c r="F549" s="2030"/>
      <c r="G549" s="2030"/>
      <c r="H549" s="2031"/>
      <c r="I549" s="80" t="s">
        <v>442</v>
      </c>
      <c r="J549" s="80"/>
      <c r="K549" s="80"/>
      <c r="L549" s="80"/>
      <c r="M549" s="80"/>
      <c r="N549" s="80"/>
      <c r="O549" s="80"/>
      <c r="P549" s="80"/>
      <c r="Q549" s="80"/>
      <c r="R549" s="80"/>
      <c r="S549" s="80"/>
      <c r="T549" s="80"/>
      <c r="U549" s="80"/>
      <c r="V549" s="80"/>
      <c r="W549" s="80"/>
      <c r="X549" s="80"/>
      <c r="Y549" s="80"/>
      <c r="Z549" s="80"/>
      <c r="AA549" s="80"/>
      <c r="AB549" s="80"/>
      <c r="AC549" s="2165" t="s">
        <v>625</v>
      </c>
      <c r="AD549" s="2064"/>
      <c r="AE549" s="2064"/>
      <c r="AF549" s="2064"/>
      <c r="AG549" s="65" t="s">
        <v>423</v>
      </c>
      <c r="AH549" s="2165" t="s">
        <v>625</v>
      </c>
      <c r="AI549" s="2064"/>
      <c r="AJ549" s="2064"/>
      <c r="AK549" s="206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9"/>
      <c r="C550" s="2030"/>
      <c r="D550" s="2030"/>
      <c r="E550" s="2030"/>
      <c r="F550" s="2030"/>
      <c r="G550" s="2030"/>
      <c r="H550" s="2031"/>
      <c r="I550" s="72" t="s">
        <v>594</v>
      </c>
      <c r="J550" s="72"/>
      <c r="K550" s="72"/>
      <c r="L550" s="72"/>
      <c r="M550" s="72"/>
      <c r="N550" s="72"/>
      <c r="O550" s="72"/>
      <c r="P550" s="72"/>
      <c r="Q550" s="72"/>
      <c r="R550" s="72"/>
      <c r="S550" s="72"/>
      <c r="T550" s="72"/>
      <c r="U550" s="72"/>
      <c r="V550" s="72"/>
      <c r="W550" s="72"/>
      <c r="X550" s="25"/>
      <c r="Y550" s="25"/>
      <c r="AC550" s="2165">
        <v>2</v>
      </c>
      <c r="AD550" s="2064"/>
      <c r="AE550" s="2064"/>
      <c r="AF550" s="2064"/>
      <c r="AG550" s="65" t="s">
        <v>423</v>
      </c>
      <c r="AH550" s="2060">
        <v>2022</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9"/>
      <c r="C551" s="2030"/>
      <c r="D551" s="2030"/>
      <c r="E551" s="2030"/>
      <c r="F551" s="2030"/>
      <c r="G551" s="2030"/>
      <c r="H551" s="2031"/>
      <c r="I551" s="25" t="s">
        <v>595</v>
      </c>
      <c r="J551" s="25"/>
      <c r="K551" s="25"/>
      <c r="L551" s="25"/>
      <c r="M551" s="25"/>
      <c r="N551" s="25"/>
      <c r="O551" s="25"/>
      <c r="P551" s="25"/>
      <c r="Q551" s="25"/>
      <c r="R551" s="25"/>
      <c r="S551" s="25"/>
      <c r="T551" s="25"/>
      <c r="U551" s="25"/>
      <c r="V551" s="25"/>
      <c r="W551" s="25"/>
      <c r="X551" s="25"/>
      <c r="Y551" s="25"/>
      <c r="AC551" s="2165">
        <v>2</v>
      </c>
      <c r="AD551" s="2064"/>
      <c r="AE551" s="2064"/>
      <c r="AF551" s="2064"/>
      <c r="AG551" s="75" t="s">
        <v>423</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9"/>
      <c r="C552" s="2030"/>
      <c r="D552" s="2030"/>
      <c r="E552" s="2030"/>
      <c r="F552" s="2030"/>
      <c r="G552" s="2030"/>
      <c r="H552" s="2031"/>
      <c r="I552" s="25" t="s">
        <v>596</v>
      </c>
      <c r="J552" s="25"/>
      <c r="K552" s="25"/>
      <c r="L552" s="25"/>
      <c r="M552" s="25"/>
      <c r="N552" s="25"/>
      <c r="O552" s="25"/>
      <c r="P552" s="25"/>
      <c r="Q552" s="25"/>
      <c r="R552" s="25"/>
      <c r="S552" s="25"/>
      <c r="T552" s="25"/>
      <c r="U552" s="25"/>
      <c r="V552" s="25"/>
      <c r="W552" s="25"/>
      <c r="X552" s="25"/>
      <c r="Y552" s="25"/>
      <c r="AC552" s="2165">
        <v>4</v>
      </c>
      <c r="AD552" s="2064"/>
      <c r="AE552" s="2064"/>
      <c r="AF552" s="2064"/>
      <c r="AG552" s="65" t="s">
        <v>423</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9"/>
      <c r="C553" s="2030"/>
      <c r="D553" s="2030"/>
      <c r="E553" s="2030"/>
      <c r="F553" s="2030"/>
      <c r="G553" s="2030"/>
      <c r="H553" s="2031"/>
      <c r="I553" s="25" t="s">
        <v>597</v>
      </c>
      <c r="J553" s="25"/>
      <c r="K553" s="25"/>
      <c r="L553" s="25"/>
      <c r="M553" s="25"/>
      <c r="N553" s="25"/>
      <c r="O553" s="25"/>
      <c r="P553" s="25"/>
      <c r="Q553" s="25"/>
      <c r="R553" s="25"/>
      <c r="S553" s="25"/>
      <c r="T553" s="25"/>
      <c r="U553" s="25"/>
      <c r="V553" s="25"/>
      <c r="W553" s="25"/>
      <c r="X553" s="25"/>
      <c r="Y553" s="25"/>
      <c r="AC553" s="2165">
        <v>4</v>
      </c>
      <c r="AD553" s="2064"/>
      <c r="AE553" s="2064"/>
      <c r="AF553" s="2064"/>
      <c r="AG553" s="65" t="s">
        <v>423</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79"/>
      <c r="C554" s="2180"/>
      <c r="D554" s="2180"/>
      <c r="E554" s="2180"/>
      <c r="F554" s="2180"/>
      <c r="G554" s="2180"/>
      <c r="H554" s="2181"/>
      <c r="I554" s="80" t="s">
        <v>481</v>
      </c>
      <c r="J554" s="80"/>
      <c r="K554" s="80"/>
      <c r="L554" s="80"/>
      <c r="M554" s="80"/>
      <c r="N554" s="80"/>
      <c r="O554" s="80"/>
      <c r="P554" s="80"/>
      <c r="Q554" s="80"/>
      <c r="R554" s="80"/>
      <c r="S554" s="80"/>
      <c r="T554" s="80"/>
      <c r="U554" s="80"/>
      <c r="V554" s="80"/>
      <c r="W554" s="80"/>
      <c r="X554" s="80"/>
      <c r="Y554" s="80"/>
      <c r="Z554" s="80"/>
      <c r="AA554" s="80"/>
      <c r="AB554" s="80"/>
      <c r="AC554" s="2165">
        <v>8</v>
      </c>
      <c r="AD554" s="2064"/>
      <c r="AE554" s="2064"/>
      <c r="AF554" s="2064"/>
      <c r="AG554" s="65" t="s">
        <v>423</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7" t="s">
        <v>483</v>
      </c>
      <c r="C563" s="2168"/>
      <c r="D563" s="2168"/>
      <c r="E563" s="2168"/>
      <c r="F563" s="2168"/>
      <c r="G563" s="2168"/>
      <c r="H563" s="2168"/>
      <c r="I563" s="2168"/>
      <c r="J563" s="2168"/>
      <c r="K563" s="2168"/>
      <c r="L563" s="2168"/>
      <c r="M563" s="2168"/>
      <c r="N563" s="2168"/>
      <c r="O563" s="2168"/>
      <c r="P563" s="2169"/>
      <c r="Q563" s="2167" t="s">
        <v>2376</v>
      </c>
      <c r="R563" s="2173"/>
      <c r="S563" s="2174"/>
      <c r="T563" s="2167" t="s">
        <v>2374</v>
      </c>
      <c r="U563" s="2173"/>
      <c r="V563" s="2174"/>
      <c r="W563" s="2167" t="s">
        <v>484</v>
      </c>
      <c r="X563" s="2173"/>
      <c r="Y563" s="2174"/>
      <c r="Z563" s="2167" t="s">
        <v>2375</v>
      </c>
      <c r="AA563" s="2173"/>
      <c r="AB563" s="2173"/>
      <c r="AC563" s="2173"/>
      <c r="AD563" s="2173"/>
      <c r="AE563" s="2167" t="s">
        <v>2148</v>
      </c>
      <c r="AF563" s="2173"/>
      <c r="AG563" s="2173"/>
      <c r="AH563" s="2174"/>
      <c r="AI563" s="2167" t="s">
        <v>2149</v>
      </c>
      <c r="AJ563" s="2173"/>
      <c r="AK563" s="2173"/>
      <c r="AL563" s="2174"/>
      <c r="AM563" s="2167" t="s">
        <v>485</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34" t="s">
        <v>2598</v>
      </c>
      <c r="D564" s="2134"/>
      <c r="E564" s="2134"/>
      <c r="F564" s="2134"/>
      <c r="G564" s="2134"/>
      <c r="H564" s="2134"/>
      <c r="I564" s="2134"/>
      <c r="J564" s="2134"/>
      <c r="K564" s="2134"/>
      <c r="L564" s="2134"/>
      <c r="M564" s="2134"/>
      <c r="N564" s="2134"/>
      <c r="O564" s="2134"/>
      <c r="P564" s="2166"/>
      <c r="Q564" s="2161">
        <v>25</v>
      </c>
      <c r="R564" s="2161"/>
      <c r="S564" s="2162"/>
      <c r="T564" s="2160">
        <v>25</v>
      </c>
      <c r="U564" s="2161"/>
      <c r="V564" s="2162"/>
      <c r="W564" s="2170">
        <v>3.1099999999999999E-2</v>
      </c>
      <c r="X564" s="2171"/>
      <c r="Y564" s="2172"/>
      <c r="Z564" s="2055" t="s">
        <v>2611</v>
      </c>
      <c r="AA564" s="2055"/>
      <c r="AB564" s="2055"/>
      <c r="AC564" s="2055"/>
      <c r="AD564" s="2055"/>
      <c r="AE564" s="2037">
        <v>1</v>
      </c>
      <c r="AF564" s="2038"/>
      <c r="AG564" s="2038"/>
      <c r="AH564" s="2039"/>
      <c r="AI564" s="2057"/>
      <c r="AJ564" s="2058"/>
      <c r="AK564" s="2058"/>
      <c r="AL564" s="2059"/>
      <c r="AM564" s="2034">
        <v>23043032</v>
      </c>
      <c r="AN564" s="2035"/>
      <c r="AO564" s="2035"/>
      <c r="AP564" s="2035"/>
      <c r="AQ564" s="2035"/>
      <c r="AR564" s="2035"/>
      <c r="AS564" s="2036"/>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4" t="s">
        <v>2600</v>
      </c>
      <c r="D565" s="2134"/>
      <c r="E565" s="2134"/>
      <c r="F565" s="2134"/>
      <c r="G565" s="2134"/>
      <c r="H565" s="2134"/>
      <c r="I565" s="2134"/>
      <c r="J565" s="2134"/>
      <c r="K565" s="2134"/>
      <c r="L565" s="2134"/>
      <c r="M565" s="2134"/>
      <c r="N565" s="2134"/>
      <c r="O565" s="2134"/>
      <c r="P565" s="2166"/>
      <c r="Q565" s="2160">
        <v>25</v>
      </c>
      <c r="R565" s="2161"/>
      <c r="S565" s="2162"/>
      <c r="T565" s="2160">
        <v>25</v>
      </c>
      <c r="U565" s="2161"/>
      <c r="V565" s="2162"/>
      <c r="W565" s="2170">
        <v>3.3599999999999998E-2</v>
      </c>
      <c r="X565" s="2171"/>
      <c r="Y565" s="2172"/>
      <c r="Z565" s="2055" t="s">
        <v>2611</v>
      </c>
      <c r="AA565" s="2055"/>
      <c r="AB565" s="2055"/>
      <c r="AC565" s="2055"/>
      <c r="AD565" s="2055"/>
      <c r="AE565" s="2037">
        <v>2</v>
      </c>
      <c r="AF565" s="2038"/>
      <c r="AG565" s="2038"/>
      <c r="AH565" s="2039"/>
      <c r="AI565" s="2057"/>
      <c r="AJ565" s="2058"/>
      <c r="AK565" s="2058"/>
      <c r="AL565" s="2059"/>
      <c r="AM565" s="2034">
        <v>3232845</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34" t="s">
        <v>2595</v>
      </c>
      <c r="D566" s="2134"/>
      <c r="E566" s="2134"/>
      <c r="F566" s="2134"/>
      <c r="G566" s="2134"/>
      <c r="H566" s="2134"/>
      <c r="I566" s="2134"/>
      <c r="J566" s="2134"/>
      <c r="K566" s="2134"/>
      <c r="L566" s="2134"/>
      <c r="M566" s="2134"/>
      <c r="N566" s="2134"/>
      <c r="O566" s="2134"/>
      <c r="P566" s="2166"/>
      <c r="Q566" s="2160">
        <v>25</v>
      </c>
      <c r="R566" s="2161"/>
      <c r="S566" s="2162"/>
      <c r="T566" s="2160">
        <v>25</v>
      </c>
      <c r="U566" s="2161"/>
      <c r="V566" s="2162"/>
      <c r="W566" s="2170">
        <v>0.03</v>
      </c>
      <c r="X566" s="2171"/>
      <c r="Y566" s="2172"/>
      <c r="Z566" s="2055" t="s">
        <v>2599</v>
      </c>
      <c r="AA566" s="2055"/>
      <c r="AB566" s="2055"/>
      <c r="AC566" s="2055"/>
      <c r="AD566" s="2055"/>
      <c r="AE566" s="2037">
        <v>3</v>
      </c>
      <c r="AF566" s="2038"/>
      <c r="AG566" s="2038"/>
      <c r="AH566" s="2039"/>
      <c r="AI566" s="2057"/>
      <c r="AJ566" s="2058"/>
      <c r="AK566" s="2058"/>
      <c r="AL566" s="2059"/>
      <c r="AM566" s="2034">
        <v>8555556</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134" t="s">
        <v>2603</v>
      </c>
      <c r="D567" s="2134"/>
      <c r="E567" s="2134"/>
      <c r="F567" s="2134"/>
      <c r="G567" s="2134"/>
      <c r="H567" s="2134"/>
      <c r="I567" s="2134"/>
      <c r="J567" s="2134"/>
      <c r="K567" s="2134"/>
      <c r="L567" s="2134"/>
      <c r="M567" s="2134"/>
      <c r="N567" s="2134"/>
      <c r="O567" s="2134"/>
      <c r="P567" s="2166"/>
      <c r="Q567" s="2160"/>
      <c r="R567" s="2161"/>
      <c r="S567" s="2162"/>
      <c r="T567" s="2160"/>
      <c r="U567" s="2161"/>
      <c r="V567" s="2162"/>
      <c r="W567" s="2170"/>
      <c r="X567" s="2171"/>
      <c r="Y567" s="2172"/>
      <c r="Z567" s="2055" t="s">
        <v>625</v>
      </c>
      <c r="AA567" s="2055"/>
      <c r="AB567" s="2055"/>
      <c r="AC567" s="2055"/>
      <c r="AD567" s="2055"/>
      <c r="AE567" s="2037"/>
      <c r="AF567" s="2038"/>
      <c r="AG567" s="2038"/>
      <c r="AH567" s="2039"/>
      <c r="AI567" s="2057"/>
      <c r="AJ567" s="2058"/>
      <c r="AK567" s="2058"/>
      <c r="AL567" s="2059"/>
      <c r="AM567" s="2034">
        <v>130923</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134" t="s">
        <v>2596</v>
      </c>
      <c r="D568" s="2134"/>
      <c r="E568" s="2134"/>
      <c r="F568" s="2134"/>
      <c r="G568" s="2134"/>
      <c r="H568" s="2134"/>
      <c r="I568" s="2134"/>
      <c r="J568" s="2134"/>
      <c r="K568" s="2134"/>
      <c r="L568" s="2134"/>
      <c r="M568" s="2134"/>
      <c r="N568" s="2134"/>
      <c r="O568" s="2134"/>
      <c r="P568" s="2166"/>
      <c r="Q568" s="2160">
        <v>25</v>
      </c>
      <c r="R568" s="2161"/>
      <c r="S568" s="2162"/>
      <c r="T568" s="2160">
        <v>25</v>
      </c>
      <c r="U568" s="2161"/>
      <c r="V568" s="2162"/>
      <c r="W568" s="2170">
        <v>0</v>
      </c>
      <c r="X568" s="2171"/>
      <c r="Y568" s="2172"/>
      <c r="Z568" s="2055" t="s">
        <v>2599</v>
      </c>
      <c r="AA568" s="2055"/>
      <c r="AB568" s="2055"/>
      <c r="AC568" s="2055"/>
      <c r="AD568" s="2055"/>
      <c r="AE568" s="2037">
        <v>4</v>
      </c>
      <c r="AF568" s="2038"/>
      <c r="AG568" s="2038"/>
      <c r="AH568" s="2039"/>
      <c r="AI568" s="2057"/>
      <c r="AJ568" s="2058"/>
      <c r="AK568" s="2058"/>
      <c r="AL568" s="2059"/>
      <c r="AM568" s="2034">
        <v>5929700</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134" t="s">
        <v>2601</v>
      </c>
      <c r="D569" s="2134"/>
      <c r="E569" s="2134"/>
      <c r="F569" s="2134"/>
      <c r="G569" s="2134"/>
      <c r="H569" s="2134"/>
      <c r="I569" s="2134"/>
      <c r="J569" s="2134"/>
      <c r="K569" s="2134"/>
      <c r="L569" s="2134"/>
      <c r="M569" s="2134"/>
      <c r="N569" s="2134"/>
      <c r="O569" s="2134"/>
      <c r="P569" s="2166"/>
      <c r="Q569" s="2160"/>
      <c r="R569" s="2161"/>
      <c r="S569" s="2162"/>
      <c r="T569" s="2160"/>
      <c r="U569" s="2161"/>
      <c r="V569" s="2162"/>
      <c r="W569" s="2170"/>
      <c r="X569" s="2171"/>
      <c r="Y569" s="2172"/>
      <c r="Z569" s="2055" t="s">
        <v>625</v>
      </c>
      <c r="AA569" s="2055"/>
      <c r="AB569" s="2055"/>
      <c r="AC569" s="2055"/>
      <c r="AD569" s="2055"/>
      <c r="AE569" s="2037"/>
      <c r="AF569" s="2038"/>
      <c r="AG569" s="2038"/>
      <c r="AH569" s="2039"/>
      <c r="AI569" s="2057"/>
      <c r="AJ569" s="2058"/>
      <c r="AK569" s="2058"/>
      <c r="AL569" s="2059"/>
      <c r="AM569" s="2034">
        <v>1896759</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134" t="s">
        <v>2602</v>
      </c>
      <c r="D570" s="2134"/>
      <c r="E570" s="2134"/>
      <c r="F570" s="2134"/>
      <c r="G570" s="2134"/>
      <c r="H570" s="2134"/>
      <c r="I570" s="2134"/>
      <c r="J570" s="2134"/>
      <c r="K570" s="2134"/>
      <c r="L570" s="2134"/>
      <c r="M570" s="2134"/>
      <c r="N570" s="2134"/>
      <c r="O570" s="2134"/>
      <c r="P570" s="2166"/>
      <c r="Q570" s="2160"/>
      <c r="R570" s="2161"/>
      <c r="S570" s="2162"/>
      <c r="T570" s="2160"/>
      <c r="U570" s="2161"/>
      <c r="V570" s="2162"/>
      <c r="W570" s="2170"/>
      <c r="X570" s="2171"/>
      <c r="Y570" s="2172"/>
      <c r="Z570" s="2055" t="s">
        <v>625</v>
      </c>
      <c r="AA570" s="2055"/>
      <c r="AB570" s="2055"/>
      <c r="AC570" s="2055"/>
      <c r="AD570" s="2055"/>
      <c r="AE570" s="2037"/>
      <c r="AF570" s="2038"/>
      <c r="AG570" s="2038"/>
      <c r="AH570" s="2039"/>
      <c r="AI570" s="2057"/>
      <c r="AJ570" s="2058"/>
      <c r="AK570" s="2058"/>
      <c r="AL570" s="2059"/>
      <c r="AM570" s="2034">
        <f>2171897-165300</f>
        <v>2006597</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134"/>
      <c r="D571" s="2134"/>
      <c r="E571" s="2134"/>
      <c r="F571" s="2134"/>
      <c r="G571" s="2134"/>
      <c r="H571" s="2134"/>
      <c r="I571" s="2134"/>
      <c r="J571" s="2134"/>
      <c r="K571" s="2134"/>
      <c r="L571" s="2134"/>
      <c r="M571" s="2134"/>
      <c r="N571" s="2134"/>
      <c r="O571" s="2134"/>
      <c r="P571" s="2166"/>
      <c r="Q571" s="2160"/>
      <c r="R571" s="2161"/>
      <c r="S571" s="2162"/>
      <c r="T571" s="2160"/>
      <c r="U571" s="2161"/>
      <c r="V571" s="2162"/>
      <c r="W571" s="2170"/>
      <c r="X571" s="2171"/>
      <c r="Y571" s="2172"/>
      <c r="Z571" s="2055" t="s">
        <v>1382</v>
      </c>
      <c r="AA571" s="2055"/>
      <c r="AB571" s="2055"/>
      <c r="AC571" s="2055"/>
      <c r="AD571" s="2055"/>
      <c r="AE571" s="2037"/>
      <c r="AF571" s="2038"/>
      <c r="AG571" s="2038"/>
      <c r="AH571" s="2039"/>
      <c r="AI571" s="2057"/>
      <c r="AJ571" s="2058"/>
      <c r="AK571" s="2058"/>
      <c r="AL571" s="2059"/>
      <c r="AM571" s="2034"/>
      <c r="AN571" s="2035"/>
      <c r="AO571" s="2035"/>
      <c r="AP571" s="2035"/>
      <c r="AQ571" s="2035"/>
      <c r="AR571" s="2035"/>
      <c r="AS571" s="2036"/>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134"/>
      <c r="D572" s="2134"/>
      <c r="E572" s="2134"/>
      <c r="F572" s="2134"/>
      <c r="G572" s="2134"/>
      <c r="H572" s="2134"/>
      <c r="I572" s="2134"/>
      <c r="J572" s="2134"/>
      <c r="K572" s="2134"/>
      <c r="L572" s="2134"/>
      <c r="M572" s="2134"/>
      <c r="N572" s="2134"/>
      <c r="O572" s="2134"/>
      <c r="P572" s="2166"/>
      <c r="Q572" s="2160"/>
      <c r="R572" s="2161"/>
      <c r="S572" s="2162"/>
      <c r="T572" s="2160"/>
      <c r="U572" s="2161"/>
      <c r="V572" s="2162"/>
      <c r="W572" s="2170"/>
      <c r="X572" s="2171"/>
      <c r="Y572" s="2172"/>
      <c r="Z572" s="2055" t="s">
        <v>1382</v>
      </c>
      <c r="AA572" s="2055"/>
      <c r="AB572" s="2055"/>
      <c r="AC572" s="2055"/>
      <c r="AD572" s="2055"/>
      <c r="AE572" s="2037"/>
      <c r="AF572" s="2038"/>
      <c r="AG572" s="2038"/>
      <c r="AH572" s="2039"/>
      <c r="AI572" s="2057"/>
      <c r="AJ572" s="2058"/>
      <c r="AK572" s="2058"/>
      <c r="AL572" s="2059"/>
      <c r="AM572" s="2034"/>
      <c r="AN572" s="2035"/>
      <c r="AO572" s="2035"/>
      <c r="AP572" s="2035"/>
      <c r="AQ572" s="2035"/>
      <c r="AR572" s="2035"/>
      <c r="AS572" s="203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34"/>
      <c r="D573" s="2134"/>
      <c r="E573" s="2134"/>
      <c r="F573" s="2134"/>
      <c r="G573" s="2134"/>
      <c r="H573" s="2134"/>
      <c r="I573" s="2134"/>
      <c r="J573" s="2134"/>
      <c r="K573" s="2134"/>
      <c r="L573" s="2134"/>
      <c r="M573" s="2134"/>
      <c r="N573" s="2134"/>
      <c r="O573" s="2134"/>
      <c r="P573" s="2166"/>
      <c r="Q573" s="2160"/>
      <c r="R573" s="2161"/>
      <c r="S573" s="2162"/>
      <c r="T573" s="2160"/>
      <c r="U573" s="2161"/>
      <c r="V573" s="2162"/>
      <c r="W573" s="2170"/>
      <c r="X573" s="2171"/>
      <c r="Y573" s="2172"/>
      <c r="Z573" s="2055" t="s">
        <v>1382</v>
      </c>
      <c r="AA573" s="2055"/>
      <c r="AB573" s="2055"/>
      <c r="AC573" s="2055"/>
      <c r="AD573" s="2055"/>
      <c r="AE573" s="2037"/>
      <c r="AF573" s="2038"/>
      <c r="AG573" s="2038"/>
      <c r="AH573" s="2039"/>
      <c r="AI573" s="2057"/>
      <c r="AJ573" s="2058"/>
      <c r="AK573" s="2058"/>
      <c r="AL573" s="2059"/>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134"/>
      <c r="D574" s="2134"/>
      <c r="E574" s="2134"/>
      <c r="F574" s="2134"/>
      <c r="G574" s="2134"/>
      <c r="H574" s="2134"/>
      <c r="I574" s="2134"/>
      <c r="J574" s="2134"/>
      <c r="K574" s="2134"/>
      <c r="L574" s="2134"/>
      <c r="M574" s="2134"/>
      <c r="N574" s="2134"/>
      <c r="O574" s="2134"/>
      <c r="P574" s="2166"/>
      <c r="Q574" s="2160"/>
      <c r="R574" s="2161"/>
      <c r="S574" s="2162"/>
      <c r="T574" s="2160"/>
      <c r="U574" s="2161"/>
      <c r="V574" s="2162"/>
      <c r="W574" s="2170"/>
      <c r="X574" s="2171"/>
      <c r="Y574" s="2172"/>
      <c r="Z574" s="2055" t="s">
        <v>1382</v>
      </c>
      <c r="AA574" s="2055"/>
      <c r="AB574" s="2055"/>
      <c r="AC574" s="2055"/>
      <c r="AD574" s="2055"/>
      <c r="AE574" s="2037"/>
      <c r="AF574" s="2038"/>
      <c r="AG574" s="2038"/>
      <c r="AH574" s="2039"/>
      <c r="AI574" s="2057"/>
      <c r="AJ574" s="2058"/>
      <c r="AK574" s="2058"/>
      <c r="AL574" s="2059"/>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134"/>
      <c r="D575" s="2134"/>
      <c r="E575" s="2134"/>
      <c r="F575" s="2134"/>
      <c r="G575" s="2134"/>
      <c r="H575" s="2134"/>
      <c r="I575" s="2134"/>
      <c r="J575" s="2134"/>
      <c r="K575" s="2134"/>
      <c r="L575" s="2134"/>
      <c r="M575" s="2134"/>
      <c r="N575" s="2134"/>
      <c r="O575" s="2134"/>
      <c r="P575" s="2166"/>
      <c r="Q575" s="2160"/>
      <c r="R575" s="2161"/>
      <c r="S575" s="2162"/>
      <c r="T575" s="2160"/>
      <c r="U575" s="2161"/>
      <c r="V575" s="2162"/>
      <c r="W575" s="2170"/>
      <c r="X575" s="2171"/>
      <c r="Y575" s="2172"/>
      <c r="Z575" s="2055" t="s">
        <v>1382</v>
      </c>
      <c r="AA575" s="2055"/>
      <c r="AB575" s="2055"/>
      <c r="AC575" s="2055"/>
      <c r="AD575" s="2055"/>
      <c r="AE575" s="2037"/>
      <c r="AF575" s="2038"/>
      <c r="AG575" s="2038"/>
      <c r="AH575" s="2039"/>
      <c r="AI575" s="2057"/>
      <c r="AJ575" s="2058"/>
      <c r="AK575" s="2058"/>
      <c r="AL575" s="2059"/>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40">
        <f>SUM(AM564:AS575)</f>
        <v>44795412</v>
      </c>
      <c r="AN576" s="2141"/>
      <c r="AO576" s="2141"/>
      <c r="AP576" s="2141"/>
      <c r="AQ576" s="2141"/>
      <c r="AR576" s="2141"/>
      <c r="AS576" s="214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43" t="str">
        <f>C564</f>
        <v xml:space="preserve">Citi - Tax-Exempt Construction Loan </v>
      </c>
      <c r="H578" s="2043"/>
      <c r="I578" s="2043"/>
      <c r="J578" s="2043"/>
      <c r="K578" s="2043"/>
      <c r="L578" s="2043"/>
      <c r="M578" s="2043"/>
      <c r="N578" s="2043"/>
      <c r="O578" s="2043"/>
      <c r="P578" s="2043"/>
      <c r="Q578" s="2043"/>
      <c r="R578" s="2043"/>
      <c r="S578" s="14"/>
      <c r="T578" s="87" t="s">
        <v>118</v>
      </c>
      <c r="U578" s="12" t="s">
        <v>495</v>
      </c>
      <c r="Z578" s="2043" t="str">
        <f>C565</f>
        <v xml:space="preserve">Citi - Taxable Construction Loan </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1" t="s">
        <v>2607</v>
      </c>
      <c r="H579" s="2042"/>
      <c r="I579" s="2042"/>
      <c r="J579" s="2042"/>
      <c r="K579" s="2042"/>
      <c r="L579" s="2042"/>
      <c r="M579" s="2042"/>
      <c r="N579" s="2042"/>
      <c r="O579" s="2042"/>
      <c r="P579" s="2042"/>
      <c r="Q579" s="2042"/>
      <c r="R579" s="2042"/>
      <c r="S579" s="14"/>
      <c r="T579" s="35"/>
      <c r="U579" s="12" t="s">
        <v>90</v>
      </c>
      <c r="Z579" s="2041" t="s">
        <v>2607</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41" t="s">
        <v>526</v>
      </c>
      <c r="H580" s="2042"/>
      <c r="I580" s="2042"/>
      <c r="J580" s="2042"/>
      <c r="K580" s="2042"/>
      <c r="L580" s="2042"/>
      <c r="M580" s="2042"/>
      <c r="N580" s="2042"/>
      <c r="O580" s="2042"/>
      <c r="P580" s="2042"/>
      <c r="Q580" s="2042"/>
      <c r="R580" s="2042"/>
      <c r="S580" s="88"/>
      <c r="T580" s="35"/>
      <c r="U580" s="12" t="s">
        <v>614</v>
      </c>
      <c r="Z580" s="2041" t="s">
        <v>526</v>
      </c>
      <c r="AA580" s="2042"/>
      <c r="AB580" s="2042"/>
      <c r="AC580" s="2042"/>
      <c r="AD580" s="2042"/>
      <c r="AE580" s="2042"/>
      <c r="AF580" s="2042"/>
      <c r="AG580" s="2042"/>
      <c r="AH580" s="2042"/>
      <c r="AI580" s="2042"/>
      <c r="AJ580" s="2042"/>
      <c r="AK580" s="2042"/>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2608</v>
      </c>
      <c r="H581" s="2042"/>
      <c r="I581" s="2042"/>
      <c r="J581" s="2042"/>
      <c r="K581" s="2042"/>
      <c r="L581" s="2042"/>
      <c r="M581" s="2042"/>
      <c r="N581" s="2042"/>
      <c r="O581" s="2042"/>
      <c r="P581" s="2042"/>
      <c r="Q581" s="2042"/>
      <c r="R581" s="2042"/>
      <c r="S581" s="14"/>
      <c r="T581" s="35"/>
      <c r="U581" s="12" t="s">
        <v>17</v>
      </c>
      <c r="Z581" s="2041" t="s">
        <v>2608</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86">
        <v>2132391726</v>
      </c>
      <c r="H582" s="2065"/>
      <c r="I582" s="2065"/>
      <c r="J582" s="2065"/>
      <c r="K582" s="2065"/>
      <c r="L582" s="2065"/>
      <c r="O582" s="137" t="s">
        <v>211</v>
      </c>
      <c r="P582" s="2032"/>
      <c r="Q582" s="2032"/>
      <c r="R582" s="2032"/>
      <c r="S582" s="16"/>
      <c r="T582" s="35"/>
      <c r="U582" s="12" t="s">
        <v>324</v>
      </c>
      <c r="Z582" s="2186">
        <v>2132391726</v>
      </c>
      <c r="AA582" s="2065"/>
      <c r="AB582" s="2065"/>
      <c r="AC582" s="2065"/>
      <c r="AD582" s="2065"/>
      <c r="AE582" s="2065"/>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2613</v>
      </c>
      <c r="I583" s="2042"/>
      <c r="J583" s="2042"/>
      <c r="K583" s="2042"/>
      <c r="L583" s="2042"/>
      <c r="M583" s="2042"/>
      <c r="N583" s="2042"/>
      <c r="O583" s="2042"/>
      <c r="P583" s="2042"/>
      <c r="Q583" s="2042"/>
      <c r="R583" s="2042"/>
      <c r="S583" s="14"/>
      <c r="T583" s="35"/>
      <c r="U583" s="12" t="s">
        <v>18</v>
      </c>
      <c r="AA583" s="2041" t="s">
        <v>2614</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191" t="s">
        <v>2612</v>
      </c>
      <c r="N584" s="2192"/>
      <c r="O584" s="2192"/>
      <c r="P584" s="2192"/>
      <c r="Q584" s="2192"/>
      <c r="R584" s="2192"/>
      <c r="S584" s="14"/>
      <c r="T584" s="35"/>
      <c r="U584" s="508" t="s">
        <v>1383</v>
      </c>
      <c r="V584" s="718"/>
      <c r="W584" s="718"/>
      <c r="X584" s="718"/>
      <c r="Y584" s="718"/>
      <c r="Z584" s="718"/>
      <c r="AA584" s="14"/>
      <c r="AB584" s="14"/>
      <c r="AC584" s="14"/>
      <c r="AD584" s="14"/>
      <c r="AE584" s="14"/>
      <c r="AF584" s="2191" t="s">
        <v>2612</v>
      </c>
      <c r="AG584" s="2192"/>
      <c r="AH584" s="2192"/>
      <c r="AI584" s="2192"/>
      <c r="AJ584" s="2192"/>
      <c r="AK584" s="2192"/>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577</v>
      </c>
      <c r="O585" s="2040"/>
      <c r="T585" s="35"/>
      <c r="U585" s="12" t="s">
        <v>20</v>
      </c>
      <c r="AG585" s="2040" t="s">
        <v>577</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3" t="str">
        <f>C566</f>
        <v>HCIDLA - HHH</v>
      </c>
      <c r="H587" s="2043"/>
      <c r="I587" s="2043"/>
      <c r="J587" s="2043"/>
      <c r="K587" s="2043"/>
      <c r="L587" s="2043"/>
      <c r="M587" s="2043"/>
      <c r="N587" s="2043"/>
      <c r="O587" s="2043"/>
      <c r="P587" s="2043"/>
      <c r="Q587" s="2043"/>
      <c r="R587" s="2043"/>
      <c r="T587" s="87" t="s">
        <v>615</v>
      </c>
      <c r="U587" s="12" t="s">
        <v>495</v>
      </c>
      <c r="Z587" s="2043" t="str">
        <f>C567</f>
        <v>Accrued deferred interest - HHH</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2615</v>
      </c>
      <c r="H588" s="2042"/>
      <c r="I588" s="2042"/>
      <c r="J588" s="2042"/>
      <c r="K588" s="2042"/>
      <c r="L588" s="2042"/>
      <c r="M588" s="2042"/>
      <c r="N588" s="2042"/>
      <c r="O588" s="2042"/>
      <c r="P588" s="2042"/>
      <c r="Q588" s="2042"/>
      <c r="R588" s="2042"/>
      <c r="T588" s="35"/>
      <c r="U588" s="12" t="s">
        <v>90</v>
      </c>
      <c r="Z588" s="2041" t="s">
        <v>2615</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134" t="s">
        <v>2566</v>
      </c>
      <c r="H589" s="2044"/>
      <c r="I589" s="2044"/>
      <c r="J589" s="2044"/>
      <c r="K589" s="2044"/>
      <c r="L589" s="2044"/>
      <c r="M589" s="2044"/>
      <c r="N589" s="2044"/>
      <c r="O589" s="2044"/>
      <c r="P589" s="2044"/>
      <c r="Q589" s="2044"/>
      <c r="R589" s="2044"/>
      <c r="T589" s="35"/>
      <c r="U589" s="12" t="s">
        <v>614</v>
      </c>
      <c r="Z589" s="2134" t="s">
        <v>2566</v>
      </c>
      <c r="AA589" s="2044"/>
      <c r="AB589" s="2044"/>
      <c r="AC589" s="2044"/>
      <c r="AD589" s="2044"/>
      <c r="AE589" s="2044"/>
      <c r="AF589" s="2044"/>
      <c r="AG589" s="2044"/>
      <c r="AH589" s="2044"/>
      <c r="AI589" s="2044"/>
      <c r="AJ589" s="2044"/>
      <c r="AK589" s="204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4" t="s">
        <v>2616</v>
      </c>
      <c r="H590" s="2044"/>
      <c r="I590" s="2044"/>
      <c r="J590" s="2044"/>
      <c r="K590" s="2044"/>
      <c r="L590" s="2044"/>
      <c r="M590" s="2044"/>
      <c r="N590" s="2044"/>
      <c r="O590" s="2044"/>
      <c r="P590" s="2044"/>
      <c r="Q590" s="2044"/>
      <c r="R590" s="2044"/>
      <c r="T590" s="35"/>
      <c r="U590" s="12" t="s">
        <v>17</v>
      </c>
      <c r="Z590" s="2134" t="s">
        <v>2616</v>
      </c>
      <c r="AA590" s="2044"/>
      <c r="AB590" s="2044"/>
      <c r="AC590" s="2044"/>
      <c r="AD590" s="2044"/>
      <c r="AE590" s="2044"/>
      <c r="AF590" s="2044"/>
      <c r="AG590" s="2044"/>
      <c r="AH590" s="2044"/>
      <c r="AI590" s="2044"/>
      <c r="AJ590" s="2044"/>
      <c r="AK590" s="204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65">
        <v>2138088596</v>
      </c>
      <c r="H591" s="2065"/>
      <c r="I591" s="2065"/>
      <c r="J591" s="2065"/>
      <c r="K591" s="2065"/>
      <c r="L591" s="2065"/>
      <c r="O591" s="137" t="s">
        <v>211</v>
      </c>
      <c r="P591" s="2032"/>
      <c r="Q591" s="2032"/>
      <c r="R591" s="2032"/>
      <c r="T591" s="35"/>
      <c r="U591" s="12" t="s">
        <v>324</v>
      </c>
      <c r="Z591" s="2065">
        <v>2138088596</v>
      </c>
      <c r="AA591" s="2065"/>
      <c r="AB591" s="2065"/>
      <c r="AC591" s="2065"/>
      <c r="AD591" s="2065"/>
      <c r="AE591" s="2065"/>
      <c r="AH591" s="137" t="s">
        <v>211</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2618</v>
      </c>
      <c r="I592" s="2042"/>
      <c r="J592" s="2042"/>
      <c r="K592" s="2042"/>
      <c r="L592" s="2042"/>
      <c r="M592" s="2042"/>
      <c r="N592" s="2042"/>
      <c r="O592" s="2042"/>
      <c r="P592" s="2042"/>
      <c r="Q592" s="2042"/>
      <c r="R592" s="2042"/>
      <c r="T592" s="35"/>
      <c r="U592" s="12" t="s">
        <v>18</v>
      </c>
      <c r="AA592" s="2041" t="s">
        <v>2617</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577</v>
      </c>
      <c r="O593" s="2040"/>
      <c r="T593" s="35"/>
      <c r="U593" s="12" t="s">
        <v>20</v>
      </c>
      <c r="AG593" s="2040" t="s">
        <v>577</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3" t="str">
        <f>C568</f>
        <v>LACDA - No Place Like Home</v>
      </c>
      <c r="H595" s="2043"/>
      <c r="I595" s="2043"/>
      <c r="J595" s="2043"/>
      <c r="K595" s="2043"/>
      <c r="L595" s="2043"/>
      <c r="M595" s="2043"/>
      <c r="N595" s="2043"/>
      <c r="O595" s="2043"/>
      <c r="P595" s="2043"/>
      <c r="Q595" s="2043"/>
      <c r="R595" s="2043"/>
      <c r="T595" s="87" t="s">
        <v>618</v>
      </c>
      <c r="U595" s="12" t="s">
        <v>495</v>
      </c>
      <c r="Z595" s="2043" t="str">
        <f>C569</f>
        <v>Costs Deferred Until Conversion</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2619</v>
      </c>
      <c r="H596" s="2042"/>
      <c r="I596" s="2042"/>
      <c r="J596" s="2042"/>
      <c r="K596" s="2042"/>
      <c r="L596" s="2042"/>
      <c r="M596" s="2042"/>
      <c r="N596" s="2042"/>
      <c r="O596" s="2042"/>
      <c r="P596" s="2042"/>
      <c r="Q596" s="2042"/>
      <c r="R596" s="2042"/>
      <c r="T596" s="35"/>
      <c r="U596" s="12" t="s">
        <v>90</v>
      </c>
      <c r="Z596" s="2041" t="s">
        <v>2531</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2620</v>
      </c>
      <c r="H597" s="2042"/>
      <c r="I597" s="2042"/>
      <c r="J597" s="2042"/>
      <c r="K597" s="2042"/>
      <c r="L597" s="2042"/>
      <c r="M597" s="2042"/>
      <c r="N597" s="2042"/>
      <c r="O597" s="2042"/>
      <c r="P597" s="2042"/>
      <c r="Q597" s="2042"/>
      <c r="R597" s="2042"/>
      <c r="T597" s="35"/>
      <c r="U597" s="12" t="s">
        <v>614</v>
      </c>
      <c r="Z597" s="2134" t="s">
        <v>2542</v>
      </c>
      <c r="AA597" s="2044"/>
      <c r="AB597" s="2044"/>
      <c r="AC597" s="2044"/>
      <c r="AD597" s="2044"/>
      <c r="AE597" s="2044"/>
      <c r="AF597" s="2044"/>
      <c r="AG597" s="2044"/>
      <c r="AH597" s="2044"/>
      <c r="AI597" s="2044"/>
      <c r="AJ597" s="2044"/>
      <c r="AK597" s="204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2621</v>
      </c>
      <c r="H598" s="2042"/>
      <c r="I598" s="2042"/>
      <c r="J598" s="2042"/>
      <c r="K598" s="2042"/>
      <c r="L598" s="2042"/>
      <c r="M598" s="2042"/>
      <c r="N598" s="2042"/>
      <c r="O598" s="2042"/>
      <c r="P598" s="2042"/>
      <c r="Q598" s="2042"/>
      <c r="R598" s="2042"/>
      <c r="T598" s="35"/>
      <c r="U598" s="12" t="s">
        <v>17</v>
      </c>
      <c r="Z598" s="2134" t="s">
        <v>2519</v>
      </c>
      <c r="AA598" s="2044"/>
      <c r="AB598" s="2044"/>
      <c r="AC598" s="2044"/>
      <c r="AD598" s="2044"/>
      <c r="AE598" s="2044"/>
      <c r="AF598" s="2044"/>
      <c r="AG598" s="2044"/>
      <c r="AH598" s="2044"/>
      <c r="AI598" s="2044"/>
      <c r="AJ598" s="2044"/>
      <c r="AK598" s="204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65">
        <v>6265861809</v>
      </c>
      <c r="H599" s="2065"/>
      <c r="I599" s="2065"/>
      <c r="J599" s="2065"/>
      <c r="K599" s="2065"/>
      <c r="L599" s="2065"/>
      <c r="O599" s="137" t="s">
        <v>211</v>
      </c>
      <c r="P599" s="2032"/>
      <c r="Q599" s="2032"/>
      <c r="R599" s="2032"/>
      <c r="T599" s="35"/>
      <c r="U599" s="12" t="s">
        <v>324</v>
      </c>
      <c r="Z599" s="2065">
        <v>2132252812</v>
      </c>
      <c r="AA599" s="2065"/>
      <c r="AB599" s="2065"/>
      <c r="AC599" s="2065"/>
      <c r="AD599" s="2065"/>
      <c r="AE599" s="2065"/>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2618</v>
      </c>
      <c r="I600" s="2042"/>
      <c r="J600" s="2042"/>
      <c r="K600" s="2042"/>
      <c r="L600" s="2042"/>
      <c r="M600" s="2042"/>
      <c r="N600" s="2042"/>
      <c r="O600" s="2042"/>
      <c r="P600" s="2042"/>
      <c r="Q600" s="2042"/>
      <c r="R600" s="2042"/>
      <c r="T600" s="35"/>
      <c r="U600" s="12" t="s">
        <v>18</v>
      </c>
      <c r="AA600" s="2041" t="s">
        <v>2622</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0" t="s">
        <v>577</v>
      </c>
      <c r="O601" s="2040"/>
      <c r="T601" s="35"/>
      <c r="U601" s="12" t="s">
        <v>20</v>
      </c>
      <c r="AG601" s="2040" t="s">
        <v>577</v>
      </c>
      <c r="AH601" s="204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43" t="str">
        <f>C570</f>
        <v>Limited Partner Capital Contribution</v>
      </c>
      <c r="H603" s="2043"/>
      <c r="I603" s="2043"/>
      <c r="J603" s="2043"/>
      <c r="K603" s="2043"/>
      <c r="L603" s="2043"/>
      <c r="M603" s="2043"/>
      <c r="N603" s="2043"/>
      <c r="O603" s="2043"/>
      <c r="P603" s="2043"/>
      <c r="Q603" s="2043"/>
      <c r="R603" s="2043"/>
      <c r="T603" s="87" t="s">
        <v>487</v>
      </c>
      <c r="U603" s="12" t="s">
        <v>495</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1" t="s">
        <v>2549</v>
      </c>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2"/>
      <c r="H605" s="2042"/>
      <c r="I605" s="2042"/>
      <c r="J605" s="2042"/>
      <c r="K605" s="2042"/>
      <c r="L605" s="2042"/>
      <c r="M605" s="2042"/>
      <c r="N605" s="2042"/>
      <c r="O605" s="2042"/>
      <c r="P605" s="2042"/>
      <c r="Q605" s="2042"/>
      <c r="R605" s="2042"/>
      <c r="T605" s="35"/>
      <c r="U605" s="12" t="s">
        <v>614</v>
      </c>
      <c r="Z605" s="2044"/>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2"/>
      <c r="H606" s="2042"/>
      <c r="I606" s="2042"/>
      <c r="J606" s="2042"/>
      <c r="K606" s="2042"/>
      <c r="L606" s="2042"/>
      <c r="M606" s="2042"/>
      <c r="N606" s="2042"/>
      <c r="O606" s="2042"/>
      <c r="P606" s="2042"/>
      <c r="Q606" s="2042"/>
      <c r="R606" s="2042"/>
      <c r="T606" s="35"/>
      <c r="U606" s="12" t="s">
        <v>17</v>
      </c>
      <c r="Z606" s="2044"/>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5"/>
      <c r="H607" s="2065"/>
      <c r="I607" s="2065"/>
      <c r="J607" s="2065"/>
      <c r="K607" s="2065"/>
      <c r="L607" s="2065"/>
      <c r="M607" s="12"/>
      <c r="N607" s="12"/>
      <c r="O607" s="137" t="s">
        <v>211</v>
      </c>
      <c r="P607" s="2032"/>
      <c r="Q607" s="2032"/>
      <c r="R607" s="2032"/>
      <c r="S607" s="12"/>
      <c r="T607" s="35"/>
      <c r="U607" s="12" t="s">
        <v>324</v>
      </c>
      <c r="V607" s="12"/>
      <c r="W607" s="12"/>
      <c r="X607" s="12"/>
      <c r="Y607" s="12"/>
      <c r="Z607" s="2065"/>
      <c r="AA607" s="2065"/>
      <c r="AB607" s="2065"/>
      <c r="AC607" s="2065"/>
      <c r="AD607" s="2065"/>
      <c r="AE607" s="2065"/>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0" t="s">
        <v>705</v>
      </c>
      <c r="O609" s="2040"/>
      <c r="P609" s="12"/>
      <c r="Q609" s="12"/>
      <c r="R609" s="12"/>
      <c r="S609" s="12"/>
      <c r="T609" s="35"/>
      <c r="U609" s="12" t="s">
        <v>20</v>
      </c>
      <c r="V609" s="12"/>
      <c r="W609" s="12"/>
      <c r="X609" s="12"/>
      <c r="Y609" s="12"/>
      <c r="Z609" s="12"/>
      <c r="AA609" s="12"/>
      <c r="AB609" s="12"/>
      <c r="AC609" s="12"/>
      <c r="AD609" s="12"/>
      <c r="AE609" s="12"/>
      <c r="AF609" s="12"/>
      <c r="AG609" s="2040" t="s">
        <v>705</v>
      </c>
      <c r="AH609" s="204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8"/>
      <c r="BH609" s="2020"/>
      <c r="BI609" s="185" t="s">
        <v>507</v>
      </c>
      <c r="BJ609" s="186"/>
      <c r="BK609" s="2018"/>
      <c r="BL609" s="2020"/>
      <c r="BM609" s="58"/>
      <c r="BN609" s="2386" t="s">
        <v>667</v>
      </c>
      <c r="BO609" s="2387"/>
      <c r="BP609" s="2387"/>
      <c r="BQ609" s="2387"/>
      <c r="BR609" s="2388"/>
      <c r="BS609" s="2185" t="s">
        <v>333</v>
      </c>
      <c r="BT609" s="2185"/>
      <c r="BU609" s="2185"/>
      <c r="BV609" s="2185"/>
      <c r="BW609" s="2185"/>
      <c r="BX609" s="2185" t="s">
        <v>168</v>
      </c>
      <c r="BY609" s="2185"/>
      <c r="BZ609" s="2185"/>
      <c r="CA609" s="2185"/>
      <c r="CB609" s="2185"/>
      <c r="CC609" s="2185" t="s">
        <v>169</v>
      </c>
      <c r="CD609" s="2185"/>
      <c r="CE609" s="2185"/>
      <c r="CF609" s="2185"/>
      <c r="CG609" s="2185"/>
      <c r="CH609" s="2185" t="s">
        <v>492</v>
      </c>
      <c r="CI609" s="2185"/>
      <c r="CJ609" s="2185"/>
      <c r="CK609" s="2185"/>
      <c r="CL609" s="2185"/>
      <c r="CM609" s="2185" t="s">
        <v>31</v>
      </c>
      <c r="CN609" s="2185"/>
      <c r="CO609" s="2185"/>
      <c r="CP609" s="2185"/>
      <c r="CQ609" s="2185"/>
      <c r="CR609" s="1803"/>
      <c r="CS609" s="2185" t="s">
        <v>667</v>
      </c>
      <c r="CT609" s="2185"/>
      <c r="CU609" s="2185"/>
      <c r="CV609" s="2185"/>
      <c r="CW609" s="2185"/>
      <c r="CX609" s="2185" t="s">
        <v>333</v>
      </c>
      <c r="CY609" s="2185"/>
      <c r="CZ609" s="2185"/>
      <c r="DA609" s="2185"/>
      <c r="DB609" s="2185"/>
      <c r="DC609" s="2185" t="s">
        <v>168</v>
      </c>
      <c r="DD609" s="2185"/>
      <c r="DE609" s="2185"/>
      <c r="DF609" s="2185"/>
      <c r="DG609" s="2185"/>
      <c r="DH609" s="2185" t="s">
        <v>169</v>
      </c>
      <c r="DI609" s="2185"/>
      <c r="DJ609" s="2185"/>
      <c r="DK609" s="2185"/>
      <c r="DL609" s="2185"/>
      <c r="DM609" s="2185" t="s">
        <v>492</v>
      </c>
      <c r="DN609" s="2185"/>
      <c r="DO609" s="2185"/>
      <c r="DP609" s="2185"/>
      <c r="DQ609" s="2185"/>
      <c r="DR609" s="2185" t="s">
        <v>31</v>
      </c>
      <c r="DS609" s="2185"/>
      <c r="DT609" s="2185"/>
      <c r="DU609" s="2185"/>
      <c r="DV609" s="2185"/>
      <c r="DX609" s="2185" t="s">
        <v>667</v>
      </c>
      <c r="DY609" s="2185"/>
      <c r="DZ609" s="2185"/>
      <c r="EA609" s="2185"/>
      <c r="EB609" s="2185"/>
      <c r="EC609" s="2185" t="s">
        <v>333</v>
      </c>
      <c r="ED609" s="2185"/>
      <c r="EE609" s="2185"/>
      <c r="EF609" s="2185"/>
      <c r="EG609" s="2185"/>
      <c r="EH609" s="2185" t="s">
        <v>168</v>
      </c>
      <c r="EI609" s="2185"/>
      <c r="EJ609" s="2185"/>
      <c r="EK609" s="2185"/>
      <c r="EL609" s="2185"/>
      <c r="EM609" s="2185" t="s">
        <v>169</v>
      </c>
      <c r="EN609" s="2185"/>
      <c r="EO609" s="2185"/>
      <c r="EP609" s="2185"/>
      <c r="EQ609" s="2185"/>
      <c r="ER609" s="2185" t="s">
        <v>492</v>
      </c>
      <c r="ES609" s="2185"/>
      <c r="ET609" s="2185"/>
      <c r="EU609" s="2185"/>
      <c r="EV609" s="2185"/>
      <c r="EW609" s="2185" t="s">
        <v>31</v>
      </c>
      <c r="EX609" s="2185"/>
      <c r="EY609" s="2185"/>
      <c r="EZ609" s="2185"/>
      <c r="FA609" s="218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1">
        <f t="shared" ref="BE610:BE634" si="0">IF(AND(AH728&lt;=0.5,AH728&gt;=0.36),1,0)</f>
        <v>0</v>
      </c>
      <c r="BF610" s="2022"/>
      <c r="BG610" s="2018">
        <f t="shared" ref="BG610:BG634" si="1">IF(BE610=1,G728,0)</f>
        <v>0</v>
      </c>
      <c r="BH610" s="2020"/>
      <c r="BI610" s="2021">
        <f t="shared" ref="BI610:BI634" si="2">IF(AND(AH728&lt;=0.35,AH728&gt;0),1,0)</f>
        <v>1</v>
      </c>
      <c r="BJ610" s="2022"/>
      <c r="BK610" s="2018">
        <f t="shared" ref="BK610:BK634" si="3">IF(BI610=1,G728,0)</f>
        <v>88</v>
      </c>
      <c r="BL610" s="2020"/>
      <c r="BM610" s="58"/>
      <c r="BN610" s="2015">
        <f t="shared" ref="BN610:BN634" si="4">IF(B728="SRO/Studio",G728,0)</f>
        <v>88</v>
      </c>
      <c r="BO610" s="2016"/>
      <c r="BP610" s="2016"/>
      <c r="BQ610" s="2016"/>
      <c r="BR610" s="2017"/>
      <c r="BS610" s="2014">
        <f t="shared" ref="BS610:BS634" si="5">IF(B728="1 Bedroom",G728,0)</f>
        <v>0</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77">
        <f t="shared" ref="CS610:CS634" si="10">IF(AND(B728="SRO/Studio",AH728&lt;=0.3),G728,0)</f>
        <v>88</v>
      </c>
      <c r="CT610" s="2377"/>
      <c r="CU610" s="2377"/>
      <c r="CV610" s="2377"/>
      <c r="CW610" s="2377"/>
      <c r="CX610" s="2377">
        <f t="shared" ref="CX610:CX634" si="11">IF(AND(B728="1 Bedroom",AH728&lt;=0.3),G728,0)</f>
        <v>0</v>
      </c>
      <c r="CY610" s="2377"/>
      <c r="CZ610" s="2377"/>
      <c r="DA610" s="2377"/>
      <c r="DB610" s="2377"/>
      <c r="DC610" s="2377">
        <f t="shared" ref="DC610:DC634" si="12">IF(AND(B728="2 Bedrooms",AH728&lt;=0.3),G728,0)</f>
        <v>0</v>
      </c>
      <c r="DD610" s="2377"/>
      <c r="DE610" s="2377"/>
      <c r="DF610" s="2377"/>
      <c r="DG610" s="2377"/>
      <c r="DH610" s="2377">
        <f t="shared" ref="DH610:DH634" si="13">IF(AND(B728="3 Bedrooms",AH728&lt;=0.3),G728,0)</f>
        <v>0</v>
      </c>
      <c r="DI610" s="2377"/>
      <c r="DJ610" s="2377"/>
      <c r="DK610" s="2377"/>
      <c r="DL610" s="2377"/>
      <c r="DM610" s="2377">
        <f t="shared" ref="DM610:DM634" si="14">IF(AND(B728="4 Bedrooms",AH728&lt;=0.3),G728,0)</f>
        <v>0</v>
      </c>
      <c r="DN610" s="2377"/>
      <c r="DO610" s="2377"/>
      <c r="DP610" s="2377"/>
      <c r="DQ610" s="2377"/>
      <c r="DR610" s="2377">
        <f t="shared" ref="DR610:DR634" si="15">IF(AND(B728="5 Bedrooms",AH728&lt;=0.3),G728,0)</f>
        <v>0</v>
      </c>
      <c r="DS610" s="2377"/>
      <c r="DT610" s="2377"/>
      <c r="DU610" s="2377"/>
      <c r="DV610" s="2377"/>
      <c r="DX610" s="2021">
        <f t="shared" ref="DX610:DX634" si="16">IF(BN610&gt;0,O728," ")</f>
        <v>591</v>
      </c>
      <c r="DY610" s="2183"/>
      <c r="DZ610" s="2183"/>
      <c r="EA610" s="2183"/>
      <c r="EB610" s="2022"/>
      <c r="EC610" s="2021" t="str">
        <f t="shared" ref="EC610:EC634" si="17">IF(BS610&gt;0,O728," ")</f>
        <v xml:space="preserve"> </v>
      </c>
      <c r="ED610" s="2183"/>
      <c r="EE610" s="2183"/>
      <c r="EF610" s="2183"/>
      <c r="EG610" s="2022"/>
      <c r="EH610" s="2021" t="str">
        <f t="shared" ref="EH610:EH634" si="18">IF(BX610&gt;0,O728," ")</f>
        <v xml:space="preserve"> </v>
      </c>
      <c r="EI610" s="2183"/>
      <c r="EJ610" s="2183"/>
      <c r="EK610" s="2183"/>
      <c r="EL610" s="2022"/>
      <c r="EM610" s="2021" t="str">
        <f t="shared" ref="EM610:EM634" si="19">IF(CC610&gt;0,O728," ")</f>
        <v xml:space="preserve"> </v>
      </c>
      <c r="EN610" s="2183"/>
      <c r="EO610" s="2183"/>
      <c r="EP610" s="2183"/>
      <c r="EQ610" s="2022"/>
      <c r="ER610" s="2021" t="str">
        <f t="shared" ref="ER610:ER634" si="20">IF(CH610&gt;0,O728," ")</f>
        <v xml:space="preserve"> </v>
      </c>
      <c r="ES610" s="2183"/>
      <c r="ET610" s="2183"/>
      <c r="EU610" s="2183"/>
      <c r="EV610" s="2022"/>
      <c r="EW610" s="2021" t="str">
        <f t="shared" ref="EW610:EW634" si="21">IF(CM610&gt;0,O728," ")</f>
        <v xml:space="preserve"> </v>
      </c>
      <c r="EX610" s="2183"/>
      <c r="EY610" s="2183"/>
      <c r="EZ610" s="2183"/>
      <c r="FA610" s="2022"/>
    </row>
    <row r="611" spans="1:157" s="7" customFormat="1" ht="12.5">
      <c r="A611" s="87" t="s">
        <v>493</v>
      </c>
      <c r="B611" s="12" t="s">
        <v>495</v>
      </c>
      <c r="C611" s="12"/>
      <c r="D611" s="12"/>
      <c r="E611" s="12"/>
      <c r="F611" s="12"/>
      <c r="G611" s="2043">
        <f>C572</f>
        <v>0</v>
      </c>
      <c r="H611" s="2043"/>
      <c r="I611" s="2043"/>
      <c r="J611" s="2043"/>
      <c r="K611" s="2043"/>
      <c r="L611" s="2043"/>
      <c r="M611" s="2043"/>
      <c r="N611" s="2043"/>
      <c r="O611" s="2043"/>
      <c r="P611" s="2043"/>
      <c r="Q611" s="2043"/>
      <c r="R611" s="2043"/>
      <c r="S611" s="12"/>
      <c r="T611" s="87" t="s">
        <v>680</v>
      </c>
      <c r="U611" s="12" t="s">
        <v>495</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1">
        <f t="shared" si="0"/>
        <v>0</v>
      </c>
      <c r="BF611" s="2022"/>
      <c r="BG611" s="2018">
        <f t="shared" si="1"/>
        <v>0</v>
      </c>
      <c r="BH611" s="2020"/>
      <c r="BI611" s="2021">
        <f t="shared" si="2"/>
        <v>0</v>
      </c>
      <c r="BJ611" s="2022"/>
      <c r="BK611" s="2018">
        <f t="shared" si="3"/>
        <v>0</v>
      </c>
      <c r="BL611" s="2020"/>
      <c r="BM611" s="58"/>
      <c r="BN611" s="2015">
        <f t="shared" si="4"/>
        <v>0</v>
      </c>
      <c r="BO611" s="2016"/>
      <c r="BP611" s="2016"/>
      <c r="BQ611" s="2016"/>
      <c r="BR611" s="2017"/>
      <c r="BS611" s="2014">
        <f t="shared" si="5"/>
        <v>0</v>
      </c>
      <c r="BT611" s="2014"/>
      <c r="BU611" s="2014"/>
      <c r="BV611" s="2014"/>
      <c r="BW611" s="2014"/>
      <c r="BX611" s="2014">
        <f t="shared" si="6"/>
        <v>0</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77">
        <f t="shared" si="10"/>
        <v>0</v>
      </c>
      <c r="CT611" s="2377"/>
      <c r="CU611" s="2377"/>
      <c r="CV611" s="2377"/>
      <c r="CW611" s="2377"/>
      <c r="CX611" s="2377">
        <f t="shared" si="11"/>
        <v>0</v>
      </c>
      <c r="CY611" s="2377"/>
      <c r="CZ611" s="2377"/>
      <c r="DA611" s="2377"/>
      <c r="DB611" s="2377"/>
      <c r="DC611" s="2377">
        <f t="shared" si="12"/>
        <v>0</v>
      </c>
      <c r="DD611" s="2377"/>
      <c r="DE611" s="2377"/>
      <c r="DF611" s="2377"/>
      <c r="DG611" s="2377"/>
      <c r="DH611" s="2377">
        <f t="shared" si="13"/>
        <v>0</v>
      </c>
      <c r="DI611" s="2377"/>
      <c r="DJ611" s="2377"/>
      <c r="DK611" s="2377"/>
      <c r="DL611" s="2377"/>
      <c r="DM611" s="2377">
        <f t="shared" si="14"/>
        <v>0</v>
      </c>
      <c r="DN611" s="2377"/>
      <c r="DO611" s="2377"/>
      <c r="DP611" s="2377"/>
      <c r="DQ611" s="2377"/>
      <c r="DR611" s="2377">
        <f t="shared" si="15"/>
        <v>0</v>
      </c>
      <c r="DS611" s="2377"/>
      <c r="DT611" s="2377"/>
      <c r="DU611" s="2377"/>
      <c r="DV611" s="2377"/>
      <c r="DX611" s="2021" t="str">
        <f t="shared" si="16"/>
        <v xml:space="preserve"> </v>
      </c>
      <c r="DY611" s="2183"/>
      <c r="DZ611" s="2183"/>
      <c r="EA611" s="2183"/>
      <c r="EB611" s="2022"/>
      <c r="EC611" s="2021" t="str">
        <f t="shared" si="17"/>
        <v xml:space="preserve"> </v>
      </c>
      <c r="ED611" s="2183"/>
      <c r="EE611" s="2183"/>
      <c r="EF611" s="2183"/>
      <c r="EG611" s="2022"/>
      <c r="EH611" s="2021" t="str">
        <f t="shared" si="18"/>
        <v xml:space="preserve"> </v>
      </c>
      <c r="EI611" s="2183"/>
      <c r="EJ611" s="2183"/>
      <c r="EK611" s="2183"/>
      <c r="EL611" s="2022"/>
      <c r="EM611" s="2021" t="str">
        <f t="shared" si="19"/>
        <v xml:space="preserve"> </v>
      </c>
      <c r="EN611" s="2183"/>
      <c r="EO611" s="2183"/>
      <c r="EP611" s="2183"/>
      <c r="EQ611" s="2022"/>
      <c r="ER611" s="2021" t="str">
        <f t="shared" si="20"/>
        <v xml:space="preserve"> </v>
      </c>
      <c r="ES611" s="2183"/>
      <c r="ET611" s="2183"/>
      <c r="EU611" s="2183"/>
      <c r="EV611" s="2022"/>
      <c r="EW611" s="2021" t="str">
        <f t="shared" si="21"/>
        <v xml:space="preserve"> </v>
      </c>
      <c r="EX611" s="2183"/>
      <c r="EY611" s="2183"/>
      <c r="EZ611" s="2183"/>
      <c r="FA611" s="2022"/>
    </row>
    <row r="612" spans="1:157" ht="12.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1">
        <f t="shared" si="0"/>
        <v>0</v>
      </c>
      <c r="BF612" s="2022"/>
      <c r="BG612" s="2018">
        <f t="shared" si="1"/>
        <v>0</v>
      </c>
      <c r="BH612" s="2020"/>
      <c r="BI612" s="2021">
        <f t="shared" si="2"/>
        <v>0</v>
      </c>
      <c r="BJ612" s="2022"/>
      <c r="BK612" s="2018">
        <f t="shared" si="3"/>
        <v>0</v>
      </c>
      <c r="BL612" s="2020"/>
      <c r="BM612" s="58"/>
      <c r="BN612" s="2015">
        <f t="shared" si="4"/>
        <v>0</v>
      </c>
      <c r="BO612" s="2016"/>
      <c r="BP612" s="2016"/>
      <c r="BQ612" s="2016"/>
      <c r="BR612" s="2017"/>
      <c r="BS612" s="2014">
        <f t="shared" si="5"/>
        <v>0</v>
      </c>
      <c r="BT612" s="2014"/>
      <c r="BU612" s="2014"/>
      <c r="BV612" s="2014"/>
      <c r="BW612" s="2014"/>
      <c r="BX612" s="2014">
        <f t="shared" si="6"/>
        <v>0</v>
      </c>
      <c r="BY612" s="2014"/>
      <c r="BZ612" s="2014"/>
      <c r="CA612" s="2014"/>
      <c r="CB612" s="2014"/>
      <c r="CC612" s="2014">
        <f t="shared" si="7"/>
        <v>0</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77">
        <f t="shared" si="10"/>
        <v>0</v>
      </c>
      <c r="CT612" s="2377"/>
      <c r="CU612" s="2377"/>
      <c r="CV612" s="2377"/>
      <c r="CW612" s="2377"/>
      <c r="CX612" s="2377">
        <f t="shared" si="11"/>
        <v>0</v>
      </c>
      <c r="CY612" s="2377"/>
      <c r="CZ612" s="2377"/>
      <c r="DA612" s="2377"/>
      <c r="DB612" s="2377"/>
      <c r="DC612" s="2377">
        <f t="shared" si="12"/>
        <v>0</v>
      </c>
      <c r="DD612" s="2377"/>
      <c r="DE612" s="2377"/>
      <c r="DF612" s="2377"/>
      <c r="DG612" s="2377"/>
      <c r="DH612" s="2377">
        <f t="shared" si="13"/>
        <v>0</v>
      </c>
      <c r="DI612" s="2377"/>
      <c r="DJ612" s="2377"/>
      <c r="DK612" s="2377"/>
      <c r="DL612" s="2377"/>
      <c r="DM612" s="2377">
        <f t="shared" si="14"/>
        <v>0</v>
      </c>
      <c r="DN612" s="2377"/>
      <c r="DO612" s="2377"/>
      <c r="DP612" s="2377"/>
      <c r="DQ612" s="2377"/>
      <c r="DR612" s="2377">
        <f t="shared" si="15"/>
        <v>0</v>
      </c>
      <c r="DS612" s="2377"/>
      <c r="DT612" s="2377"/>
      <c r="DU612" s="2377"/>
      <c r="DV612" s="2377"/>
      <c r="DX612" s="2021" t="str">
        <f t="shared" si="16"/>
        <v xml:space="preserve"> </v>
      </c>
      <c r="DY612" s="2183"/>
      <c r="DZ612" s="2183"/>
      <c r="EA612" s="2183"/>
      <c r="EB612" s="2022"/>
      <c r="EC612" s="2021" t="str">
        <f t="shared" si="17"/>
        <v xml:space="preserve"> </v>
      </c>
      <c r="ED612" s="2183"/>
      <c r="EE612" s="2183"/>
      <c r="EF612" s="2183"/>
      <c r="EG612" s="2022"/>
      <c r="EH612" s="2021" t="str">
        <f t="shared" si="18"/>
        <v xml:space="preserve"> </v>
      </c>
      <c r="EI612" s="2183"/>
      <c r="EJ612" s="2183"/>
      <c r="EK612" s="2183"/>
      <c r="EL612" s="2022"/>
      <c r="EM612" s="2021" t="str">
        <f t="shared" si="19"/>
        <v xml:space="preserve"> </v>
      </c>
      <c r="EN612" s="2183"/>
      <c r="EO612" s="2183"/>
      <c r="EP612" s="2183"/>
      <c r="EQ612" s="2022"/>
      <c r="ER612" s="2021" t="str">
        <f t="shared" si="20"/>
        <v xml:space="preserve"> </v>
      </c>
      <c r="ES612" s="2183"/>
      <c r="ET612" s="2183"/>
      <c r="EU612" s="2183"/>
      <c r="EV612" s="2022"/>
      <c r="EW612" s="2021" t="str">
        <f t="shared" si="21"/>
        <v xml:space="preserve"> </v>
      </c>
      <c r="EX612" s="2183"/>
      <c r="EY612" s="2183"/>
      <c r="EZ612" s="2183"/>
      <c r="FA612" s="2022"/>
    </row>
    <row r="613" spans="1:157" ht="12.5">
      <c r="A613" s="35"/>
      <c r="B613" s="12" t="s">
        <v>614</v>
      </c>
      <c r="G613" s="2042"/>
      <c r="H613" s="2042"/>
      <c r="I613" s="2042"/>
      <c r="J613" s="2042"/>
      <c r="K613" s="2042"/>
      <c r="L613" s="2042"/>
      <c r="M613" s="2042"/>
      <c r="N613" s="2042"/>
      <c r="O613" s="2042"/>
      <c r="P613" s="2042"/>
      <c r="Q613" s="2042"/>
      <c r="R613" s="2042"/>
      <c r="T613" s="35"/>
      <c r="U613" s="12" t="s">
        <v>614</v>
      </c>
      <c r="Z613" s="2044"/>
      <c r="AA613" s="2044"/>
      <c r="AB613" s="2044"/>
      <c r="AC613" s="2044"/>
      <c r="AD613" s="2044"/>
      <c r="AE613" s="2044"/>
      <c r="AF613" s="2044"/>
      <c r="AG613" s="2044"/>
      <c r="AH613" s="2044"/>
      <c r="AI613" s="2044"/>
      <c r="AJ613" s="2044"/>
      <c r="AK613" s="2044"/>
      <c r="BA613" s="7" t="s">
        <v>170</v>
      </c>
      <c r="BB613" s="58"/>
      <c r="BC613" s="58"/>
      <c r="BD613" s="58"/>
      <c r="BE613" s="2021">
        <f t="shared" si="0"/>
        <v>0</v>
      </c>
      <c r="BF613" s="2022"/>
      <c r="BG613" s="2018">
        <f t="shared" si="1"/>
        <v>0</v>
      </c>
      <c r="BH613" s="2020"/>
      <c r="BI613" s="2021">
        <f t="shared" si="2"/>
        <v>0</v>
      </c>
      <c r="BJ613" s="2022"/>
      <c r="BK613" s="2018">
        <f t="shared" si="3"/>
        <v>0</v>
      </c>
      <c r="BL613" s="2020"/>
      <c r="BM613" s="58"/>
      <c r="BN613" s="2015">
        <f t="shared" si="4"/>
        <v>0</v>
      </c>
      <c r="BO613" s="2016"/>
      <c r="BP613" s="2016"/>
      <c r="BQ613" s="2016"/>
      <c r="BR613" s="2017"/>
      <c r="BS613" s="2014">
        <f t="shared" si="5"/>
        <v>0</v>
      </c>
      <c r="BT613" s="2014"/>
      <c r="BU613" s="2014"/>
      <c r="BV613" s="2014"/>
      <c r="BW613" s="2014"/>
      <c r="BX613" s="2014">
        <f t="shared" si="6"/>
        <v>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77">
        <f t="shared" si="10"/>
        <v>0</v>
      </c>
      <c r="CT613" s="2377"/>
      <c r="CU613" s="2377"/>
      <c r="CV613" s="2377"/>
      <c r="CW613" s="2377"/>
      <c r="CX613" s="2377">
        <f t="shared" si="11"/>
        <v>0</v>
      </c>
      <c r="CY613" s="2377"/>
      <c r="CZ613" s="2377"/>
      <c r="DA613" s="2377"/>
      <c r="DB613" s="2377"/>
      <c r="DC613" s="2377">
        <f t="shared" si="12"/>
        <v>0</v>
      </c>
      <c r="DD613" s="2377"/>
      <c r="DE613" s="2377"/>
      <c r="DF613" s="2377"/>
      <c r="DG613" s="2377"/>
      <c r="DH613" s="2377">
        <f t="shared" si="13"/>
        <v>0</v>
      </c>
      <c r="DI613" s="2377"/>
      <c r="DJ613" s="2377"/>
      <c r="DK613" s="2377"/>
      <c r="DL613" s="2377"/>
      <c r="DM613" s="2377">
        <f t="shared" si="14"/>
        <v>0</v>
      </c>
      <c r="DN613" s="2377"/>
      <c r="DO613" s="2377"/>
      <c r="DP613" s="2377"/>
      <c r="DQ613" s="2377"/>
      <c r="DR613" s="2377">
        <f t="shared" si="15"/>
        <v>0</v>
      </c>
      <c r="DS613" s="2377"/>
      <c r="DT613" s="2377"/>
      <c r="DU613" s="2377"/>
      <c r="DV613" s="2377"/>
      <c r="DX613" s="2021" t="str">
        <f t="shared" si="16"/>
        <v xml:space="preserve"> </v>
      </c>
      <c r="DY613" s="2183"/>
      <c r="DZ613" s="2183"/>
      <c r="EA613" s="2183"/>
      <c r="EB613" s="2022"/>
      <c r="EC613" s="2021" t="str">
        <f t="shared" si="17"/>
        <v xml:space="preserve"> </v>
      </c>
      <c r="ED613" s="2183"/>
      <c r="EE613" s="2183"/>
      <c r="EF613" s="2183"/>
      <c r="EG613" s="2022"/>
      <c r="EH613" s="2021" t="str">
        <f t="shared" si="18"/>
        <v xml:space="preserve"> </v>
      </c>
      <c r="EI613" s="2183"/>
      <c r="EJ613" s="2183"/>
      <c r="EK613" s="2183"/>
      <c r="EL613" s="2022"/>
      <c r="EM613" s="2021" t="str">
        <f t="shared" si="19"/>
        <v xml:space="preserve"> </v>
      </c>
      <c r="EN613" s="2183"/>
      <c r="EO613" s="2183"/>
      <c r="EP613" s="2183"/>
      <c r="EQ613" s="2022"/>
      <c r="ER613" s="2021" t="str">
        <f t="shared" si="20"/>
        <v xml:space="preserve"> </v>
      </c>
      <c r="ES613" s="2183"/>
      <c r="ET613" s="2183"/>
      <c r="EU613" s="2183"/>
      <c r="EV613" s="2022"/>
      <c r="EW613" s="2021" t="str">
        <f t="shared" si="21"/>
        <v xml:space="preserve"> </v>
      </c>
      <c r="EX613" s="2183"/>
      <c r="EY613" s="2183"/>
      <c r="EZ613" s="2183"/>
      <c r="FA613" s="2022"/>
    </row>
    <row r="614" spans="1:157" ht="12.5">
      <c r="A614" s="35"/>
      <c r="B614" s="12" t="s">
        <v>17</v>
      </c>
      <c r="G614" s="2042"/>
      <c r="H614" s="2042"/>
      <c r="I614" s="2042"/>
      <c r="J614" s="2042"/>
      <c r="K614" s="2042"/>
      <c r="L614" s="2042"/>
      <c r="M614" s="2042"/>
      <c r="N614" s="2042"/>
      <c r="O614" s="2042"/>
      <c r="P614" s="2042"/>
      <c r="Q614" s="2042"/>
      <c r="R614" s="2042"/>
      <c r="T614" s="35"/>
      <c r="U614" s="12" t="s">
        <v>17</v>
      </c>
      <c r="Z614" s="2044"/>
      <c r="AA614" s="2044"/>
      <c r="AB614" s="2044"/>
      <c r="AC614" s="2044"/>
      <c r="AD614" s="2044"/>
      <c r="AE614" s="2044"/>
      <c r="AF614" s="2044"/>
      <c r="AG614" s="2044"/>
      <c r="AH614" s="2044"/>
      <c r="AI614" s="2044"/>
      <c r="AJ614" s="2044"/>
      <c r="AK614" s="2044"/>
      <c r="BA614" s="7" t="s">
        <v>31</v>
      </c>
      <c r="BB614" s="58"/>
      <c r="BC614" s="58"/>
      <c r="BD614" s="58"/>
      <c r="BE614" s="2021">
        <f t="shared" si="0"/>
        <v>0</v>
      </c>
      <c r="BF614" s="2022"/>
      <c r="BG614" s="2018">
        <f t="shared" si="1"/>
        <v>0</v>
      </c>
      <c r="BH614" s="2020"/>
      <c r="BI614" s="2021">
        <f t="shared" si="2"/>
        <v>0</v>
      </c>
      <c r="BJ614" s="2022"/>
      <c r="BK614" s="2018">
        <f t="shared" si="3"/>
        <v>0</v>
      </c>
      <c r="BL614" s="2020"/>
      <c r="BM614" s="58"/>
      <c r="BN614" s="2015">
        <f t="shared" si="4"/>
        <v>0</v>
      </c>
      <c r="BO614" s="2016"/>
      <c r="BP614" s="2016"/>
      <c r="BQ614" s="2016"/>
      <c r="BR614" s="2017"/>
      <c r="BS614" s="2014">
        <f t="shared" si="5"/>
        <v>0</v>
      </c>
      <c r="BT614" s="2014"/>
      <c r="BU614" s="2014"/>
      <c r="BV614" s="2014"/>
      <c r="BW614" s="2014"/>
      <c r="BX614" s="2014">
        <f t="shared" si="6"/>
        <v>0</v>
      </c>
      <c r="BY614" s="2014"/>
      <c r="BZ614" s="2014"/>
      <c r="CA614" s="2014"/>
      <c r="CB614" s="2014"/>
      <c r="CC614" s="2014">
        <f t="shared" si="7"/>
        <v>0</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77">
        <f t="shared" si="10"/>
        <v>0</v>
      </c>
      <c r="CT614" s="2377"/>
      <c r="CU614" s="2377"/>
      <c r="CV614" s="2377"/>
      <c r="CW614" s="2377"/>
      <c r="CX614" s="2377">
        <f t="shared" si="11"/>
        <v>0</v>
      </c>
      <c r="CY614" s="2377"/>
      <c r="CZ614" s="2377"/>
      <c r="DA614" s="2377"/>
      <c r="DB614" s="2377"/>
      <c r="DC614" s="2377">
        <f t="shared" si="12"/>
        <v>0</v>
      </c>
      <c r="DD614" s="2377"/>
      <c r="DE614" s="2377"/>
      <c r="DF614" s="2377"/>
      <c r="DG614" s="2377"/>
      <c r="DH614" s="2377">
        <f t="shared" si="13"/>
        <v>0</v>
      </c>
      <c r="DI614" s="2377"/>
      <c r="DJ614" s="2377"/>
      <c r="DK614" s="2377"/>
      <c r="DL614" s="2377"/>
      <c r="DM614" s="2377">
        <f t="shared" si="14"/>
        <v>0</v>
      </c>
      <c r="DN614" s="2377"/>
      <c r="DO614" s="2377"/>
      <c r="DP614" s="2377"/>
      <c r="DQ614" s="2377"/>
      <c r="DR614" s="2377">
        <f t="shared" si="15"/>
        <v>0</v>
      </c>
      <c r="DS614" s="2377"/>
      <c r="DT614" s="2377"/>
      <c r="DU614" s="2377"/>
      <c r="DV614" s="2377"/>
      <c r="DX614" s="2021" t="str">
        <f t="shared" si="16"/>
        <v xml:space="preserve"> </v>
      </c>
      <c r="DY614" s="2183"/>
      <c r="DZ614" s="2183"/>
      <c r="EA614" s="2183"/>
      <c r="EB614" s="2022"/>
      <c r="EC614" s="2021" t="str">
        <f t="shared" si="17"/>
        <v xml:space="preserve"> </v>
      </c>
      <c r="ED614" s="2183"/>
      <c r="EE614" s="2183"/>
      <c r="EF614" s="2183"/>
      <c r="EG614" s="2022"/>
      <c r="EH614" s="2021" t="str">
        <f t="shared" si="18"/>
        <v xml:space="preserve"> </v>
      </c>
      <c r="EI614" s="2183"/>
      <c r="EJ614" s="2183"/>
      <c r="EK614" s="2183"/>
      <c r="EL614" s="2022"/>
      <c r="EM614" s="2021" t="str">
        <f t="shared" si="19"/>
        <v xml:space="preserve"> </v>
      </c>
      <c r="EN614" s="2183"/>
      <c r="EO614" s="2183"/>
      <c r="EP614" s="2183"/>
      <c r="EQ614" s="2022"/>
      <c r="ER614" s="2021" t="str">
        <f t="shared" si="20"/>
        <v xml:space="preserve"> </v>
      </c>
      <c r="ES614" s="2183"/>
      <c r="ET614" s="2183"/>
      <c r="EU614" s="2183"/>
      <c r="EV614" s="2022"/>
      <c r="EW614" s="2021" t="str">
        <f t="shared" si="21"/>
        <v xml:space="preserve"> </v>
      </c>
      <c r="EX614" s="2183"/>
      <c r="EY614" s="2183"/>
      <c r="EZ614" s="2183"/>
      <c r="FA614" s="2022"/>
    </row>
    <row r="615" spans="1:157" ht="12.5">
      <c r="A615" s="35"/>
      <c r="B615" s="12" t="s">
        <v>324</v>
      </c>
      <c r="G615" s="2065"/>
      <c r="H615" s="2065"/>
      <c r="I615" s="2065"/>
      <c r="J615" s="2065"/>
      <c r="K615" s="2065"/>
      <c r="L615" s="2065"/>
      <c r="O615" s="137" t="s">
        <v>211</v>
      </c>
      <c r="P615" s="2032"/>
      <c r="Q615" s="2032"/>
      <c r="R615" s="2032"/>
      <c r="T615" s="35"/>
      <c r="U615" s="12" t="s">
        <v>324</v>
      </c>
      <c r="Z615" s="2065"/>
      <c r="AA615" s="2065"/>
      <c r="AB615" s="2065"/>
      <c r="AC615" s="2065"/>
      <c r="AD615" s="2065"/>
      <c r="AE615" s="2065"/>
      <c r="AH615" s="137" t="s">
        <v>211</v>
      </c>
      <c r="AI615" s="2032"/>
      <c r="AJ615" s="2032"/>
      <c r="AK615" s="2032"/>
      <c r="AZ615" s="58"/>
      <c r="BA615" s="58"/>
      <c r="BB615" s="58"/>
      <c r="BC615" s="58"/>
      <c r="BD615" s="58"/>
      <c r="BE615" s="2021">
        <f t="shared" si="0"/>
        <v>0</v>
      </c>
      <c r="BF615" s="2022"/>
      <c r="BG615" s="2018">
        <f t="shared" si="1"/>
        <v>0</v>
      </c>
      <c r="BH615" s="2020"/>
      <c r="BI615" s="2021">
        <f t="shared" si="2"/>
        <v>0</v>
      </c>
      <c r="BJ615" s="2022"/>
      <c r="BK615" s="2018">
        <f t="shared" si="3"/>
        <v>0</v>
      </c>
      <c r="BL615" s="2020"/>
      <c r="BM615" s="58"/>
      <c r="BN615" s="2015">
        <f t="shared" si="4"/>
        <v>0</v>
      </c>
      <c r="BO615" s="2016"/>
      <c r="BP615" s="2016"/>
      <c r="BQ615" s="2016"/>
      <c r="BR615" s="2017"/>
      <c r="BS615" s="2014">
        <f t="shared" si="5"/>
        <v>0</v>
      </c>
      <c r="BT615" s="2014"/>
      <c r="BU615" s="2014"/>
      <c r="BV615" s="2014"/>
      <c r="BW615" s="2014"/>
      <c r="BX615" s="2014">
        <f t="shared" si="6"/>
        <v>0</v>
      </c>
      <c r="BY615" s="2014"/>
      <c r="BZ615" s="2014"/>
      <c r="CA615" s="2014"/>
      <c r="CB615" s="2014"/>
      <c r="CC615" s="2014">
        <f t="shared" si="7"/>
        <v>0</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77">
        <f t="shared" si="10"/>
        <v>0</v>
      </c>
      <c r="CT615" s="2377"/>
      <c r="CU615" s="2377"/>
      <c r="CV615" s="2377"/>
      <c r="CW615" s="2377"/>
      <c r="CX615" s="2377">
        <f t="shared" si="11"/>
        <v>0</v>
      </c>
      <c r="CY615" s="2377"/>
      <c r="CZ615" s="2377"/>
      <c r="DA615" s="2377"/>
      <c r="DB615" s="2377"/>
      <c r="DC615" s="2377">
        <f t="shared" si="12"/>
        <v>0</v>
      </c>
      <c r="DD615" s="2377"/>
      <c r="DE615" s="2377"/>
      <c r="DF615" s="2377"/>
      <c r="DG615" s="2377"/>
      <c r="DH615" s="2377">
        <f t="shared" si="13"/>
        <v>0</v>
      </c>
      <c r="DI615" s="2377"/>
      <c r="DJ615" s="2377"/>
      <c r="DK615" s="2377"/>
      <c r="DL615" s="2377"/>
      <c r="DM615" s="2377">
        <f t="shared" si="14"/>
        <v>0</v>
      </c>
      <c r="DN615" s="2377"/>
      <c r="DO615" s="2377"/>
      <c r="DP615" s="2377"/>
      <c r="DQ615" s="2377"/>
      <c r="DR615" s="2377">
        <f t="shared" si="15"/>
        <v>0</v>
      </c>
      <c r="DS615" s="2377"/>
      <c r="DT615" s="2377"/>
      <c r="DU615" s="2377"/>
      <c r="DV615" s="2377"/>
      <c r="DX615" s="2021" t="str">
        <f t="shared" si="16"/>
        <v xml:space="preserve"> </v>
      </c>
      <c r="DY615" s="2183"/>
      <c r="DZ615" s="2183"/>
      <c r="EA615" s="2183"/>
      <c r="EB615" s="2022"/>
      <c r="EC615" s="2021" t="str">
        <f t="shared" si="17"/>
        <v xml:space="preserve"> </v>
      </c>
      <c r="ED615" s="2183"/>
      <c r="EE615" s="2183"/>
      <c r="EF615" s="2183"/>
      <c r="EG615" s="2022"/>
      <c r="EH615" s="2021" t="str">
        <f t="shared" si="18"/>
        <v xml:space="preserve"> </v>
      </c>
      <c r="EI615" s="2183"/>
      <c r="EJ615" s="2183"/>
      <c r="EK615" s="2183"/>
      <c r="EL615" s="2022"/>
      <c r="EM615" s="2021" t="str">
        <f t="shared" si="19"/>
        <v xml:space="preserve"> </v>
      </c>
      <c r="EN615" s="2183"/>
      <c r="EO615" s="2183"/>
      <c r="EP615" s="2183"/>
      <c r="EQ615" s="2022"/>
      <c r="ER615" s="2021" t="str">
        <f t="shared" si="20"/>
        <v xml:space="preserve"> </v>
      </c>
      <c r="ES615" s="2183"/>
      <c r="ET615" s="2183"/>
      <c r="EU615" s="2183"/>
      <c r="EV615" s="2022"/>
      <c r="EW615" s="2021" t="str">
        <f t="shared" si="21"/>
        <v xml:space="preserve"> </v>
      </c>
      <c r="EX615" s="2183"/>
      <c r="EY615" s="2183"/>
      <c r="EZ615" s="2183"/>
      <c r="FA615" s="2022"/>
    </row>
    <row r="616" spans="1:157" ht="12.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1">
        <f t="shared" si="0"/>
        <v>0</v>
      </c>
      <c r="BF616" s="2022"/>
      <c r="BG616" s="2018">
        <f t="shared" si="1"/>
        <v>0</v>
      </c>
      <c r="BH616" s="2020"/>
      <c r="BI616" s="2021">
        <f t="shared" si="2"/>
        <v>0</v>
      </c>
      <c r="BJ616" s="2022"/>
      <c r="BK616" s="2018">
        <f t="shared" si="3"/>
        <v>0</v>
      </c>
      <c r="BL616" s="2020"/>
      <c r="BM616" s="58"/>
      <c r="BN616" s="2015">
        <f t="shared" si="4"/>
        <v>0</v>
      </c>
      <c r="BO616" s="2016"/>
      <c r="BP616" s="2016"/>
      <c r="BQ616" s="2016"/>
      <c r="BR616" s="2017"/>
      <c r="BS616" s="2014">
        <f t="shared" si="5"/>
        <v>0</v>
      </c>
      <c r="BT616" s="2014"/>
      <c r="BU616" s="2014"/>
      <c r="BV616" s="2014"/>
      <c r="BW616" s="2014"/>
      <c r="BX616" s="2014">
        <f t="shared" si="6"/>
        <v>0</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77">
        <f t="shared" si="10"/>
        <v>0</v>
      </c>
      <c r="CT616" s="2377"/>
      <c r="CU616" s="2377"/>
      <c r="CV616" s="2377"/>
      <c r="CW616" s="2377"/>
      <c r="CX616" s="2377">
        <f t="shared" si="11"/>
        <v>0</v>
      </c>
      <c r="CY616" s="2377"/>
      <c r="CZ616" s="2377"/>
      <c r="DA616" s="2377"/>
      <c r="DB616" s="2377"/>
      <c r="DC616" s="2377">
        <f t="shared" si="12"/>
        <v>0</v>
      </c>
      <c r="DD616" s="2377"/>
      <c r="DE616" s="2377"/>
      <c r="DF616" s="2377"/>
      <c r="DG616" s="2377"/>
      <c r="DH616" s="2377">
        <f t="shared" si="13"/>
        <v>0</v>
      </c>
      <c r="DI616" s="2377"/>
      <c r="DJ616" s="2377"/>
      <c r="DK616" s="2377"/>
      <c r="DL616" s="2377"/>
      <c r="DM616" s="2377">
        <f t="shared" si="14"/>
        <v>0</v>
      </c>
      <c r="DN616" s="2377"/>
      <c r="DO616" s="2377"/>
      <c r="DP616" s="2377"/>
      <c r="DQ616" s="2377"/>
      <c r="DR616" s="2377">
        <f t="shared" si="15"/>
        <v>0</v>
      </c>
      <c r="DS616" s="2377"/>
      <c r="DT616" s="2377"/>
      <c r="DU616" s="2377"/>
      <c r="DV616" s="2377"/>
      <c r="DX616" s="2021" t="str">
        <f t="shared" si="16"/>
        <v xml:space="preserve"> </v>
      </c>
      <c r="DY616" s="2183"/>
      <c r="DZ616" s="2183"/>
      <c r="EA616" s="2183"/>
      <c r="EB616" s="2022"/>
      <c r="EC616" s="2021" t="str">
        <f t="shared" si="17"/>
        <v xml:space="preserve"> </v>
      </c>
      <c r="ED616" s="2183"/>
      <c r="EE616" s="2183"/>
      <c r="EF616" s="2183"/>
      <c r="EG616" s="2022"/>
      <c r="EH616" s="2021" t="str">
        <f t="shared" si="18"/>
        <v xml:space="preserve"> </v>
      </c>
      <c r="EI616" s="2183"/>
      <c r="EJ616" s="2183"/>
      <c r="EK616" s="2183"/>
      <c r="EL616" s="2022"/>
      <c r="EM616" s="2021" t="str">
        <f t="shared" si="19"/>
        <v xml:space="preserve"> </v>
      </c>
      <c r="EN616" s="2183"/>
      <c r="EO616" s="2183"/>
      <c r="EP616" s="2183"/>
      <c r="EQ616" s="2022"/>
      <c r="ER616" s="2021" t="str">
        <f t="shared" si="20"/>
        <v xml:space="preserve"> </v>
      </c>
      <c r="ES616" s="2183"/>
      <c r="ET616" s="2183"/>
      <c r="EU616" s="2183"/>
      <c r="EV616" s="2022"/>
      <c r="EW616" s="2021" t="str">
        <f t="shared" si="21"/>
        <v xml:space="preserve"> </v>
      </c>
      <c r="EX616" s="2183"/>
      <c r="EY616" s="2183"/>
      <c r="EZ616" s="2183"/>
      <c r="FA616" s="2022"/>
    </row>
    <row r="617" spans="1:157" ht="12.5">
      <c r="A617" s="35"/>
      <c r="B617" s="12" t="s">
        <v>20</v>
      </c>
      <c r="N617" s="2040" t="s">
        <v>705</v>
      </c>
      <c r="O617" s="2040"/>
      <c r="T617" s="35"/>
      <c r="U617" s="12" t="s">
        <v>20</v>
      </c>
      <c r="AG617" s="2040" t="s">
        <v>705</v>
      </c>
      <c r="AH617" s="2040"/>
      <c r="AZ617" s="58"/>
      <c r="BA617" s="58"/>
      <c r="BB617" s="58"/>
      <c r="BC617" s="58"/>
      <c r="BD617" s="58"/>
      <c r="BE617" s="2021">
        <f t="shared" si="0"/>
        <v>0</v>
      </c>
      <c r="BF617" s="2022"/>
      <c r="BG617" s="2018">
        <f t="shared" si="1"/>
        <v>0</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0</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77">
        <f t="shared" si="10"/>
        <v>0</v>
      </c>
      <c r="CT617" s="2377"/>
      <c r="CU617" s="2377"/>
      <c r="CV617" s="2377"/>
      <c r="CW617" s="2377"/>
      <c r="CX617" s="2377">
        <f t="shared" si="11"/>
        <v>0</v>
      </c>
      <c r="CY617" s="2377"/>
      <c r="CZ617" s="2377"/>
      <c r="DA617" s="2377"/>
      <c r="DB617" s="2377"/>
      <c r="DC617" s="2377">
        <f t="shared" si="12"/>
        <v>0</v>
      </c>
      <c r="DD617" s="2377"/>
      <c r="DE617" s="2377"/>
      <c r="DF617" s="2377"/>
      <c r="DG617" s="2377"/>
      <c r="DH617" s="2377">
        <f t="shared" si="13"/>
        <v>0</v>
      </c>
      <c r="DI617" s="2377"/>
      <c r="DJ617" s="2377"/>
      <c r="DK617" s="2377"/>
      <c r="DL617" s="2377"/>
      <c r="DM617" s="2377">
        <f t="shared" si="14"/>
        <v>0</v>
      </c>
      <c r="DN617" s="2377"/>
      <c r="DO617" s="2377"/>
      <c r="DP617" s="2377"/>
      <c r="DQ617" s="2377"/>
      <c r="DR617" s="2377">
        <f t="shared" si="15"/>
        <v>0</v>
      </c>
      <c r="DS617" s="2377"/>
      <c r="DT617" s="2377"/>
      <c r="DU617" s="2377"/>
      <c r="DV617" s="2377"/>
      <c r="DX617" s="2021" t="str">
        <f t="shared" si="16"/>
        <v xml:space="preserve"> </v>
      </c>
      <c r="DY617" s="2183"/>
      <c r="DZ617" s="2183"/>
      <c r="EA617" s="2183"/>
      <c r="EB617" s="2022"/>
      <c r="EC617" s="2021" t="str">
        <f t="shared" si="17"/>
        <v xml:space="preserve"> </v>
      </c>
      <c r="ED617" s="2183"/>
      <c r="EE617" s="2183"/>
      <c r="EF617" s="2183"/>
      <c r="EG617" s="2022"/>
      <c r="EH617" s="2021" t="str">
        <f t="shared" si="18"/>
        <v xml:space="preserve"> </v>
      </c>
      <c r="EI617" s="2183"/>
      <c r="EJ617" s="2183"/>
      <c r="EK617" s="2183"/>
      <c r="EL617" s="2022"/>
      <c r="EM617" s="2021" t="str">
        <f t="shared" si="19"/>
        <v xml:space="preserve"> </v>
      </c>
      <c r="EN617" s="2183"/>
      <c r="EO617" s="2183"/>
      <c r="EP617" s="2183"/>
      <c r="EQ617" s="2022"/>
      <c r="ER617" s="2021" t="str">
        <f t="shared" si="20"/>
        <v xml:space="preserve"> </v>
      </c>
      <c r="ES617" s="2183"/>
      <c r="ET617" s="2183"/>
      <c r="EU617" s="2183"/>
      <c r="EV617" s="2022"/>
      <c r="EW617" s="2021" t="str">
        <f t="shared" si="21"/>
        <v xml:space="preserve"> </v>
      </c>
      <c r="EX617" s="2183"/>
      <c r="EY617" s="2183"/>
      <c r="EZ617" s="2183"/>
      <c r="FA617" s="2022"/>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8">
        <f t="shared" si="1"/>
        <v>0</v>
      </c>
      <c r="BH618" s="2020"/>
      <c r="BI618" s="2021">
        <f t="shared" si="2"/>
        <v>0</v>
      </c>
      <c r="BJ618" s="2022"/>
      <c r="BK618" s="2018">
        <f t="shared" si="3"/>
        <v>0</v>
      </c>
      <c r="BL618" s="2020"/>
      <c r="BM618" s="58"/>
      <c r="BN618" s="2015">
        <f t="shared" si="4"/>
        <v>0</v>
      </c>
      <c r="BO618" s="2016"/>
      <c r="BP618" s="2016"/>
      <c r="BQ618" s="2016"/>
      <c r="BR618" s="2017"/>
      <c r="BS618" s="2014">
        <f t="shared" si="5"/>
        <v>0</v>
      </c>
      <c r="BT618" s="2014"/>
      <c r="BU618" s="2014"/>
      <c r="BV618" s="2014"/>
      <c r="BW618" s="2014"/>
      <c r="BX618" s="2014">
        <f t="shared" si="6"/>
        <v>0</v>
      </c>
      <c r="BY618" s="2014"/>
      <c r="BZ618" s="2014"/>
      <c r="CA618" s="2014"/>
      <c r="CB618" s="2014"/>
      <c r="CC618" s="2014">
        <f t="shared" si="7"/>
        <v>0</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77">
        <f t="shared" si="10"/>
        <v>0</v>
      </c>
      <c r="CT618" s="2377"/>
      <c r="CU618" s="2377"/>
      <c r="CV618" s="2377"/>
      <c r="CW618" s="2377"/>
      <c r="CX618" s="2377">
        <f t="shared" si="11"/>
        <v>0</v>
      </c>
      <c r="CY618" s="2377"/>
      <c r="CZ618" s="2377"/>
      <c r="DA618" s="2377"/>
      <c r="DB618" s="2377"/>
      <c r="DC618" s="2377">
        <f t="shared" si="12"/>
        <v>0</v>
      </c>
      <c r="DD618" s="2377"/>
      <c r="DE618" s="2377"/>
      <c r="DF618" s="2377"/>
      <c r="DG618" s="2377"/>
      <c r="DH618" s="2377">
        <f t="shared" si="13"/>
        <v>0</v>
      </c>
      <c r="DI618" s="2377"/>
      <c r="DJ618" s="2377"/>
      <c r="DK618" s="2377"/>
      <c r="DL618" s="2377"/>
      <c r="DM618" s="2377">
        <f t="shared" si="14"/>
        <v>0</v>
      </c>
      <c r="DN618" s="2377"/>
      <c r="DO618" s="2377"/>
      <c r="DP618" s="2377"/>
      <c r="DQ618" s="2377"/>
      <c r="DR618" s="2377">
        <f t="shared" si="15"/>
        <v>0</v>
      </c>
      <c r="DS618" s="2377"/>
      <c r="DT618" s="2377"/>
      <c r="DU618" s="2377"/>
      <c r="DV618" s="2377"/>
      <c r="DX618" s="2021" t="str">
        <f t="shared" si="16"/>
        <v xml:space="preserve"> </v>
      </c>
      <c r="DY618" s="2183"/>
      <c r="DZ618" s="2183"/>
      <c r="EA618" s="2183"/>
      <c r="EB618" s="2022"/>
      <c r="EC618" s="2021" t="str">
        <f t="shared" si="17"/>
        <v xml:space="preserve"> </v>
      </c>
      <c r="ED618" s="2183"/>
      <c r="EE618" s="2183"/>
      <c r="EF618" s="2183"/>
      <c r="EG618" s="2022"/>
      <c r="EH618" s="2021" t="str">
        <f t="shared" si="18"/>
        <v xml:space="preserve"> </v>
      </c>
      <c r="EI618" s="2183"/>
      <c r="EJ618" s="2183"/>
      <c r="EK618" s="2183"/>
      <c r="EL618" s="2022"/>
      <c r="EM618" s="2021" t="str">
        <f t="shared" si="19"/>
        <v xml:space="preserve"> </v>
      </c>
      <c r="EN618" s="2183"/>
      <c r="EO618" s="2183"/>
      <c r="EP618" s="2183"/>
      <c r="EQ618" s="2022"/>
      <c r="ER618" s="2021" t="str">
        <f t="shared" si="20"/>
        <v xml:space="preserve"> </v>
      </c>
      <c r="ES618" s="2183"/>
      <c r="ET618" s="2183"/>
      <c r="EU618" s="2183"/>
      <c r="EV618" s="2022"/>
      <c r="EW618" s="2021" t="str">
        <f t="shared" si="21"/>
        <v xml:space="preserve"> </v>
      </c>
      <c r="EX618" s="2183"/>
      <c r="EY618" s="2183"/>
      <c r="EZ618" s="2183"/>
      <c r="FA618" s="2022"/>
    </row>
    <row r="619" spans="1:157" s="7" customFormat="1" ht="12.5">
      <c r="A619" s="87" t="s">
        <v>371</v>
      </c>
      <c r="B619" s="12" t="s">
        <v>495</v>
      </c>
      <c r="C619" s="12"/>
      <c r="D619" s="12"/>
      <c r="E619" s="12"/>
      <c r="F619" s="12"/>
      <c r="G619" s="2043">
        <f>C574</f>
        <v>0</v>
      </c>
      <c r="H619" s="2043"/>
      <c r="I619" s="2043"/>
      <c r="J619" s="2043"/>
      <c r="K619" s="2043"/>
      <c r="L619" s="2043"/>
      <c r="M619" s="2043"/>
      <c r="N619" s="2043"/>
      <c r="O619" s="2043"/>
      <c r="P619" s="2043"/>
      <c r="Q619" s="2043"/>
      <c r="R619" s="2043"/>
      <c r="S619" s="12"/>
      <c r="T619" s="87" t="s">
        <v>372</v>
      </c>
      <c r="U619" s="12" t="s">
        <v>495</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8">
        <f t="shared" si="1"/>
        <v>0</v>
      </c>
      <c r="BH619" s="2020"/>
      <c r="BI619" s="2021">
        <f t="shared" si="2"/>
        <v>0</v>
      </c>
      <c r="BJ619" s="2022"/>
      <c r="BK619" s="2018">
        <f t="shared" si="3"/>
        <v>0</v>
      </c>
      <c r="BL619" s="2020"/>
      <c r="BM619" s="58"/>
      <c r="BN619" s="2015">
        <f t="shared" si="4"/>
        <v>0</v>
      </c>
      <c r="BO619" s="2016"/>
      <c r="BP619" s="2016"/>
      <c r="BQ619" s="2016"/>
      <c r="BR619" s="2017"/>
      <c r="BS619" s="2014">
        <f t="shared" si="5"/>
        <v>0</v>
      </c>
      <c r="BT619" s="2014"/>
      <c r="BU619" s="2014"/>
      <c r="BV619" s="2014"/>
      <c r="BW619" s="2014"/>
      <c r="BX619" s="2014">
        <f t="shared" si="6"/>
        <v>0</v>
      </c>
      <c r="BY619" s="2014"/>
      <c r="BZ619" s="2014"/>
      <c r="CA619" s="2014"/>
      <c r="CB619" s="2014"/>
      <c r="CC619" s="2014">
        <f t="shared" si="7"/>
        <v>0</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77">
        <f t="shared" si="10"/>
        <v>0</v>
      </c>
      <c r="CT619" s="2377"/>
      <c r="CU619" s="2377"/>
      <c r="CV619" s="2377"/>
      <c r="CW619" s="2377"/>
      <c r="CX619" s="2377">
        <f t="shared" si="11"/>
        <v>0</v>
      </c>
      <c r="CY619" s="2377"/>
      <c r="CZ619" s="2377"/>
      <c r="DA619" s="2377"/>
      <c r="DB619" s="2377"/>
      <c r="DC619" s="2377">
        <f t="shared" si="12"/>
        <v>0</v>
      </c>
      <c r="DD619" s="2377"/>
      <c r="DE619" s="2377"/>
      <c r="DF619" s="2377"/>
      <c r="DG619" s="2377"/>
      <c r="DH619" s="2377">
        <f t="shared" si="13"/>
        <v>0</v>
      </c>
      <c r="DI619" s="2377"/>
      <c r="DJ619" s="2377"/>
      <c r="DK619" s="2377"/>
      <c r="DL619" s="2377"/>
      <c r="DM619" s="2377">
        <f t="shared" si="14"/>
        <v>0</v>
      </c>
      <c r="DN619" s="2377"/>
      <c r="DO619" s="2377"/>
      <c r="DP619" s="2377"/>
      <c r="DQ619" s="2377"/>
      <c r="DR619" s="2377">
        <f t="shared" si="15"/>
        <v>0</v>
      </c>
      <c r="DS619" s="2377"/>
      <c r="DT619" s="2377"/>
      <c r="DU619" s="2377"/>
      <c r="DV619" s="2377"/>
      <c r="DX619" s="2021" t="str">
        <f t="shared" si="16"/>
        <v xml:space="preserve"> </v>
      </c>
      <c r="DY619" s="2183"/>
      <c r="DZ619" s="2183"/>
      <c r="EA619" s="2183"/>
      <c r="EB619" s="2022"/>
      <c r="EC619" s="2021" t="str">
        <f t="shared" si="17"/>
        <v xml:space="preserve"> </v>
      </c>
      <c r="ED619" s="2183"/>
      <c r="EE619" s="2183"/>
      <c r="EF619" s="2183"/>
      <c r="EG619" s="2022"/>
      <c r="EH619" s="2021" t="str">
        <f t="shared" si="18"/>
        <v xml:space="preserve"> </v>
      </c>
      <c r="EI619" s="2183"/>
      <c r="EJ619" s="2183"/>
      <c r="EK619" s="2183"/>
      <c r="EL619" s="2022"/>
      <c r="EM619" s="2021" t="str">
        <f t="shared" si="19"/>
        <v xml:space="preserve"> </v>
      </c>
      <c r="EN619" s="2183"/>
      <c r="EO619" s="2183"/>
      <c r="EP619" s="2183"/>
      <c r="EQ619" s="2022"/>
      <c r="ER619" s="2021" t="str">
        <f t="shared" si="20"/>
        <v xml:space="preserve"> </v>
      </c>
      <c r="ES619" s="2183"/>
      <c r="ET619" s="2183"/>
      <c r="EU619" s="2183"/>
      <c r="EV619" s="2022"/>
      <c r="EW619" s="2021" t="str">
        <f t="shared" si="21"/>
        <v xml:space="preserve"> </v>
      </c>
      <c r="EX619" s="2183"/>
      <c r="EY619" s="2183"/>
      <c r="EZ619" s="2183"/>
      <c r="FA619" s="2022"/>
    </row>
    <row r="620" spans="1:157" s="7" customFormat="1" ht="12.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0</v>
      </c>
      <c r="BY620" s="2014"/>
      <c r="BZ620" s="2014"/>
      <c r="CA620" s="2014"/>
      <c r="CB620" s="2014"/>
      <c r="CC620" s="2014">
        <f t="shared" si="7"/>
        <v>0</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77">
        <f t="shared" si="10"/>
        <v>0</v>
      </c>
      <c r="CT620" s="2377"/>
      <c r="CU620" s="2377"/>
      <c r="CV620" s="2377"/>
      <c r="CW620" s="2377"/>
      <c r="CX620" s="2377">
        <f t="shared" si="11"/>
        <v>0</v>
      </c>
      <c r="CY620" s="2377"/>
      <c r="CZ620" s="2377"/>
      <c r="DA620" s="2377"/>
      <c r="DB620" s="2377"/>
      <c r="DC620" s="2377">
        <f t="shared" si="12"/>
        <v>0</v>
      </c>
      <c r="DD620" s="2377"/>
      <c r="DE620" s="2377"/>
      <c r="DF620" s="2377"/>
      <c r="DG620" s="2377"/>
      <c r="DH620" s="2377">
        <f t="shared" si="13"/>
        <v>0</v>
      </c>
      <c r="DI620" s="2377"/>
      <c r="DJ620" s="2377"/>
      <c r="DK620" s="2377"/>
      <c r="DL620" s="2377"/>
      <c r="DM620" s="2377">
        <f t="shared" si="14"/>
        <v>0</v>
      </c>
      <c r="DN620" s="2377"/>
      <c r="DO620" s="2377"/>
      <c r="DP620" s="2377"/>
      <c r="DQ620" s="2377"/>
      <c r="DR620" s="2377">
        <f t="shared" si="15"/>
        <v>0</v>
      </c>
      <c r="DS620" s="2377"/>
      <c r="DT620" s="2377"/>
      <c r="DU620" s="2377"/>
      <c r="DV620" s="2377"/>
      <c r="DX620" s="2021" t="str">
        <f t="shared" si="16"/>
        <v xml:space="preserve"> </v>
      </c>
      <c r="DY620" s="2183"/>
      <c r="DZ620" s="2183"/>
      <c r="EA620" s="2183"/>
      <c r="EB620" s="2022"/>
      <c r="EC620" s="2021" t="str">
        <f t="shared" si="17"/>
        <v xml:space="preserve"> </v>
      </c>
      <c r="ED620" s="2183"/>
      <c r="EE620" s="2183"/>
      <c r="EF620" s="2183"/>
      <c r="EG620" s="2022"/>
      <c r="EH620" s="2021" t="str">
        <f t="shared" si="18"/>
        <v xml:space="preserve"> </v>
      </c>
      <c r="EI620" s="2183"/>
      <c r="EJ620" s="2183"/>
      <c r="EK620" s="2183"/>
      <c r="EL620" s="2022"/>
      <c r="EM620" s="2021" t="str">
        <f t="shared" si="19"/>
        <v xml:space="preserve"> </v>
      </c>
      <c r="EN620" s="2183"/>
      <c r="EO620" s="2183"/>
      <c r="EP620" s="2183"/>
      <c r="EQ620" s="2022"/>
      <c r="ER620" s="2021" t="str">
        <f t="shared" si="20"/>
        <v xml:space="preserve"> </v>
      </c>
      <c r="ES620" s="2183"/>
      <c r="ET620" s="2183"/>
      <c r="EU620" s="2183"/>
      <c r="EV620" s="2022"/>
      <c r="EW620" s="2021" t="str">
        <f t="shared" si="21"/>
        <v xml:space="preserve"> </v>
      </c>
      <c r="EX620" s="2183"/>
      <c r="EY620" s="2183"/>
      <c r="EZ620" s="2183"/>
      <c r="FA620" s="2022"/>
    </row>
    <row r="621" spans="1:157" ht="12.5">
      <c r="B621" s="12" t="s">
        <v>614</v>
      </c>
      <c r="G621" s="2042"/>
      <c r="H621" s="2042"/>
      <c r="I621" s="2042"/>
      <c r="J621" s="2042"/>
      <c r="K621" s="2042"/>
      <c r="L621" s="2042"/>
      <c r="M621" s="2042"/>
      <c r="N621" s="2042"/>
      <c r="O621" s="2042"/>
      <c r="P621" s="2042"/>
      <c r="Q621" s="2042"/>
      <c r="R621" s="2042"/>
      <c r="U621" s="12" t="s">
        <v>614</v>
      </c>
      <c r="Z621" s="2044"/>
      <c r="AA621" s="2044"/>
      <c r="AB621" s="2044"/>
      <c r="AC621" s="2044"/>
      <c r="AD621" s="2044"/>
      <c r="AE621" s="2044"/>
      <c r="AF621" s="2044"/>
      <c r="AG621" s="2044"/>
      <c r="AH621" s="2044"/>
      <c r="AI621" s="2044"/>
      <c r="AJ621" s="2044"/>
      <c r="AK621" s="2044"/>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0</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77">
        <f t="shared" si="10"/>
        <v>0</v>
      </c>
      <c r="CT621" s="2377"/>
      <c r="CU621" s="2377"/>
      <c r="CV621" s="2377"/>
      <c r="CW621" s="2377"/>
      <c r="CX621" s="2377">
        <f t="shared" si="11"/>
        <v>0</v>
      </c>
      <c r="CY621" s="2377"/>
      <c r="CZ621" s="2377"/>
      <c r="DA621" s="2377"/>
      <c r="DB621" s="2377"/>
      <c r="DC621" s="2377">
        <f t="shared" si="12"/>
        <v>0</v>
      </c>
      <c r="DD621" s="2377"/>
      <c r="DE621" s="2377"/>
      <c r="DF621" s="2377"/>
      <c r="DG621" s="2377"/>
      <c r="DH621" s="2377">
        <f t="shared" si="13"/>
        <v>0</v>
      </c>
      <c r="DI621" s="2377"/>
      <c r="DJ621" s="2377"/>
      <c r="DK621" s="2377"/>
      <c r="DL621" s="2377"/>
      <c r="DM621" s="2377">
        <f t="shared" si="14"/>
        <v>0</v>
      </c>
      <c r="DN621" s="2377"/>
      <c r="DO621" s="2377"/>
      <c r="DP621" s="2377"/>
      <c r="DQ621" s="2377"/>
      <c r="DR621" s="2377">
        <f t="shared" si="15"/>
        <v>0</v>
      </c>
      <c r="DS621" s="2377"/>
      <c r="DT621" s="2377"/>
      <c r="DU621" s="2377"/>
      <c r="DV621" s="2377"/>
      <c r="DX621" s="2021" t="str">
        <f t="shared" si="16"/>
        <v xml:space="preserve"> </v>
      </c>
      <c r="DY621" s="2183"/>
      <c r="DZ621" s="2183"/>
      <c r="EA621" s="2183"/>
      <c r="EB621" s="2022"/>
      <c r="EC621" s="2021" t="str">
        <f t="shared" si="17"/>
        <v xml:space="preserve"> </v>
      </c>
      <c r="ED621" s="2183"/>
      <c r="EE621" s="2183"/>
      <c r="EF621" s="2183"/>
      <c r="EG621" s="2022"/>
      <c r="EH621" s="2021" t="str">
        <f t="shared" si="18"/>
        <v xml:space="preserve"> </v>
      </c>
      <c r="EI621" s="2183"/>
      <c r="EJ621" s="2183"/>
      <c r="EK621" s="2183"/>
      <c r="EL621" s="2022"/>
      <c r="EM621" s="2021" t="str">
        <f t="shared" si="19"/>
        <v xml:space="preserve"> </v>
      </c>
      <c r="EN621" s="2183"/>
      <c r="EO621" s="2183"/>
      <c r="EP621" s="2183"/>
      <c r="EQ621" s="2022"/>
      <c r="ER621" s="2021" t="str">
        <f t="shared" si="20"/>
        <v xml:space="preserve"> </v>
      </c>
      <c r="ES621" s="2183"/>
      <c r="ET621" s="2183"/>
      <c r="EU621" s="2183"/>
      <c r="EV621" s="2022"/>
      <c r="EW621" s="2021" t="str">
        <f t="shared" si="21"/>
        <v xml:space="preserve"> </v>
      </c>
      <c r="EX621" s="2183"/>
      <c r="EY621" s="2183"/>
      <c r="EZ621" s="2183"/>
      <c r="FA621" s="2022"/>
    </row>
    <row r="622" spans="1:157" ht="12.5">
      <c r="B622" s="12" t="s">
        <v>17</v>
      </c>
      <c r="G622" s="2042"/>
      <c r="H622" s="2042"/>
      <c r="I622" s="2042"/>
      <c r="J622" s="2042"/>
      <c r="K622" s="2042"/>
      <c r="L622" s="2042"/>
      <c r="M622" s="2042"/>
      <c r="N622" s="2042"/>
      <c r="O622" s="2042"/>
      <c r="P622" s="2042"/>
      <c r="Q622" s="2042"/>
      <c r="R622" s="2042"/>
      <c r="U622" s="12" t="s">
        <v>17</v>
      </c>
      <c r="Z622" s="2044"/>
      <c r="AA622" s="2044"/>
      <c r="AB622" s="2044"/>
      <c r="AC622" s="2044"/>
      <c r="AD622" s="2044"/>
      <c r="AE622" s="2044"/>
      <c r="AF622" s="2044"/>
      <c r="AG622" s="2044"/>
      <c r="AH622" s="2044"/>
      <c r="AI622" s="2044"/>
      <c r="AJ622" s="2044"/>
      <c r="AK622" s="2044"/>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77">
        <f t="shared" si="10"/>
        <v>0</v>
      </c>
      <c r="CT622" s="2377"/>
      <c r="CU622" s="2377"/>
      <c r="CV622" s="2377"/>
      <c r="CW622" s="2377"/>
      <c r="CX622" s="2377">
        <f t="shared" si="11"/>
        <v>0</v>
      </c>
      <c r="CY622" s="2377"/>
      <c r="CZ622" s="2377"/>
      <c r="DA622" s="2377"/>
      <c r="DB622" s="2377"/>
      <c r="DC622" s="2377">
        <f t="shared" si="12"/>
        <v>0</v>
      </c>
      <c r="DD622" s="2377"/>
      <c r="DE622" s="2377"/>
      <c r="DF622" s="2377"/>
      <c r="DG622" s="2377"/>
      <c r="DH622" s="2377">
        <f t="shared" si="13"/>
        <v>0</v>
      </c>
      <c r="DI622" s="2377"/>
      <c r="DJ622" s="2377"/>
      <c r="DK622" s="2377"/>
      <c r="DL622" s="2377"/>
      <c r="DM622" s="2377">
        <f t="shared" si="14"/>
        <v>0</v>
      </c>
      <c r="DN622" s="2377"/>
      <c r="DO622" s="2377"/>
      <c r="DP622" s="2377"/>
      <c r="DQ622" s="2377"/>
      <c r="DR622" s="2377">
        <f t="shared" si="15"/>
        <v>0</v>
      </c>
      <c r="DS622" s="2377"/>
      <c r="DT622" s="2377"/>
      <c r="DU622" s="2377"/>
      <c r="DV622" s="2377"/>
      <c r="DX622" s="2021" t="str">
        <f t="shared" si="16"/>
        <v xml:space="preserve"> </v>
      </c>
      <c r="DY622" s="2183"/>
      <c r="DZ622" s="2183"/>
      <c r="EA622" s="2183"/>
      <c r="EB622" s="2022"/>
      <c r="EC622" s="2021" t="str">
        <f t="shared" si="17"/>
        <v xml:space="preserve"> </v>
      </c>
      <c r="ED622" s="2183"/>
      <c r="EE622" s="2183"/>
      <c r="EF622" s="2183"/>
      <c r="EG622" s="2022"/>
      <c r="EH622" s="2021" t="str">
        <f t="shared" si="18"/>
        <v xml:space="preserve"> </v>
      </c>
      <c r="EI622" s="2183"/>
      <c r="EJ622" s="2183"/>
      <c r="EK622" s="2183"/>
      <c r="EL622" s="2022"/>
      <c r="EM622" s="2021" t="str">
        <f t="shared" si="19"/>
        <v xml:space="preserve"> </v>
      </c>
      <c r="EN622" s="2183"/>
      <c r="EO622" s="2183"/>
      <c r="EP622" s="2183"/>
      <c r="EQ622" s="2022"/>
      <c r="ER622" s="2021" t="str">
        <f t="shared" si="20"/>
        <v xml:space="preserve"> </v>
      </c>
      <c r="ES622" s="2183"/>
      <c r="ET622" s="2183"/>
      <c r="EU622" s="2183"/>
      <c r="EV622" s="2022"/>
      <c r="EW622" s="2021" t="str">
        <f t="shared" si="21"/>
        <v xml:space="preserve"> </v>
      </c>
      <c r="EX622" s="2183"/>
      <c r="EY622" s="2183"/>
      <c r="EZ622" s="2183"/>
      <c r="FA622" s="2022"/>
    </row>
    <row r="623" spans="1:157" ht="12.5">
      <c r="B623" s="12" t="s">
        <v>324</v>
      </c>
      <c r="G623" s="2065"/>
      <c r="H623" s="2065"/>
      <c r="I623" s="2065"/>
      <c r="J623" s="2065"/>
      <c r="K623" s="2065"/>
      <c r="L623" s="2065"/>
      <c r="O623" s="137" t="s">
        <v>211</v>
      </c>
      <c r="P623" s="2032"/>
      <c r="Q623" s="2032"/>
      <c r="R623" s="2032"/>
      <c r="U623" s="12" t="s">
        <v>324</v>
      </c>
      <c r="Z623" s="2065"/>
      <c r="AA623" s="2065"/>
      <c r="AB623" s="2065"/>
      <c r="AC623" s="2065"/>
      <c r="AD623" s="2065"/>
      <c r="AE623" s="2065"/>
      <c r="AH623" s="137" t="s">
        <v>211</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77">
        <f t="shared" si="10"/>
        <v>0</v>
      </c>
      <c r="CT623" s="2377"/>
      <c r="CU623" s="2377"/>
      <c r="CV623" s="2377"/>
      <c r="CW623" s="2377"/>
      <c r="CX623" s="2377">
        <f t="shared" si="11"/>
        <v>0</v>
      </c>
      <c r="CY623" s="2377"/>
      <c r="CZ623" s="2377"/>
      <c r="DA623" s="2377"/>
      <c r="DB623" s="2377"/>
      <c r="DC623" s="2377">
        <f t="shared" si="12"/>
        <v>0</v>
      </c>
      <c r="DD623" s="2377"/>
      <c r="DE623" s="2377"/>
      <c r="DF623" s="2377"/>
      <c r="DG623" s="2377"/>
      <c r="DH623" s="2377">
        <f t="shared" si="13"/>
        <v>0</v>
      </c>
      <c r="DI623" s="2377"/>
      <c r="DJ623" s="2377"/>
      <c r="DK623" s="2377"/>
      <c r="DL623" s="2377"/>
      <c r="DM623" s="2377">
        <f t="shared" si="14"/>
        <v>0</v>
      </c>
      <c r="DN623" s="2377"/>
      <c r="DO623" s="2377"/>
      <c r="DP623" s="2377"/>
      <c r="DQ623" s="2377"/>
      <c r="DR623" s="2377">
        <f t="shared" si="15"/>
        <v>0</v>
      </c>
      <c r="DS623" s="2377"/>
      <c r="DT623" s="2377"/>
      <c r="DU623" s="2377"/>
      <c r="DV623" s="2377"/>
      <c r="DX623" s="2021" t="str">
        <f t="shared" si="16"/>
        <v xml:space="preserve"> </v>
      </c>
      <c r="DY623" s="2183"/>
      <c r="DZ623" s="2183"/>
      <c r="EA623" s="2183"/>
      <c r="EB623" s="2022"/>
      <c r="EC623" s="2021" t="str">
        <f t="shared" si="17"/>
        <v xml:space="preserve"> </v>
      </c>
      <c r="ED623" s="2183"/>
      <c r="EE623" s="2183"/>
      <c r="EF623" s="2183"/>
      <c r="EG623" s="2022"/>
      <c r="EH623" s="2021" t="str">
        <f t="shared" si="18"/>
        <v xml:space="preserve"> </v>
      </c>
      <c r="EI623" s="2183"/>
      <c r="EJ623" s="2183"/>
      <c r="EK623" s="2183"/>
      <c r="EL623" s="2022"/>
      <c r="EM623" s="2021" t="str">
        <f t="shared" si="19"/>
        <v xml:space="preserve"> </v>
      </c>
      <c r="EN623" s="2183"/>
      <c r="EO623" s="2183"/>
      <c r="EP623" s="2183"/>
      <c r="EQ623" s="2022"/>
      <c r="ER623" s="2021" t="str">
        <f t="shared" si="20"/>
        <v xml:space="preserve"> </v>
      </c>
      <c r="ES623" s="2183"/>
      <c r="ET623" s="2183"/>
      <c r="EU623" s="2183"/>
      <c r="EV623" s="2022"/>
      <c r="EW623" s="2021" t="str">
        <f t="shared" si="21"/>
        <v xml:space="preserve"> </v>
      </c>
      <c r="EX623" s="2183"/>
      <c r="EY623" s="2183"/>
      <c r="EZ623" s="2183"/>
      <c r="FA623" s="2022"/>
    </row>
    <row r="624" spans="1:157" ht="12.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77">
        <f t="shared" si="10"/>
        <v>0</v>
      </c>
      <c r="CT624" s="2377"/>
      <c r="CU624" s="2377"/>
      <c r="CV624" s="2377"/>
      <c r="CW624" s="2377"/>
      <c r="CX624" s="2377">
        <f t="shared" si="11"/>
        <v>0</v>
      </c>
      <c r="CY624" s="2377"/>
      <c r="CZ624" s="2377"/>
      <c r="DA624" s="2377"/>
      <c r="DB624" s="2377"/>
      <c r="DC624" s="2377">
        <f t="shared" si="12"/>
        <v>0</v>
      </c>
      <c r="DD624" s="2377"/>
      <c r="DE624" s="2377"/>
      <c r="DF624" s="2377"/>
      <c r="DG624" s="2377"/>
      <c r="DH624" s="2377">
        <f t="shared" si="13"/>
        <v>0</v>
      </c>
      <c r="DI624" s="2377"/>
      <c r="DJ624" s="2377"/>
      <c r="DK624" s="2377"/>
      <c r="DL624" s="2377"/>
      <c r="DM624" s="2377">
        <f t="shared" si="14"/>
        <v>0</v>
      </c>
      <c r="DN624" s="2377"/>
      <c r="DO624" s="2377"/>
      <c r="DP624" s="2377"/>
      <c r="DQ624" s="2377"/>
      <c r="DR624" s="2377">
        <f t="shared" si="15"/>
        <v>0</v>
      </c>
      <c r="DS624" s="2377"/>
      <c r="DT624" s="2377"/>
      <c r="DU624" s="2377"/>
      <c r="DV624" s="2377"/>
      <c r="DX624" s="2021" t="str">
        <f t="shared" si="16"/>
        <v xml:space="preserve"> </v>
      </c>
      <c r="DY624" s="2183"/>
      <c r="DZ624" s="2183"/>
      <c r="EA624" s="2183"/>
      <c r="EB624" s="2022"/>
      <c r="EC624" s="2021" t="str">
        <f t="shared" si="17"/>
        <v xml:space="preserve"> </v>
      </c>
      <c r="ED624" s="2183"/>
      <c r="EE624" s="2183"/>
      <c r="EF624" s="2183"/>
      <c r="EG624" s="2022"/>
      <c r="EH624" s="2021" t="str">
        <f t="shared" si="18"/>
        <v xml:space="preserve"> </v>
      </c>
      <c r="EI624" s="2183"/>
      <c r="EJ624" s="2183"/>
      <c r="EK624" s="2183"/>
      <c r="EL624" s="2022"/>
      <c r="EM624" s="2021" t="str">
        <f t="shared" si="19"/>
        <v xml:space="preserve"> </v>
      </c>
      <c r="EN624" s="2183"/>
      <c r="EO624" s="2183"/>
      <c r="EP624" s="2183"/>
      <c r="EQ624" s="2022"/>
      <c r="ER624" s="2021" t="str">
        <f t="shared" si="20"/>
        <v xml:space="preserve"> </v>
      </c>
      <c r="ES624" s="2183"/>
      <c r="ET624" s="2183"/>
      <c r="EU624" s="2183"/>
      <c r="EV624" s="2022"/>
      <c r="EW624" s="2021" t="str">
        <f t="shared" si="21"/>
        <v xml:space="preserve"> </v>
      </c>
      <c r="EX624" s="2183"/>
      <c r="EY624" s="2183"/>
      <c r="EZ624" s="2183"/>
      <c r="FA624" s="2022"/>
    </row>
    <row r="625" spans="1:157" ht="12.5">
      <c r="B625" s="12" t="s">
        <v>20</v>
      </c>
      <c r="N625" s="2040" t="s">
        <v>705</v>
      </c>
      <c r="O625" s="2040"/>
      <c r="U625" s="12" t="s">
        <v>20</v>
      </c>
      <c r="AG625" s="2040" t="s">
        <v>705</v>
      </c>
      <c r="AH625" s="2040"/>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77">
        <f t="shared" si="10"/>
        <v>0</v>
      </c>
      <c r="CT625" s="2377"/>
      <c r="CU625" s="2377"/>
      <c r="CV625" s="2377"/>
      <c r="CW625" s="2377"/>
      <c r="CX625" s="2377">
        <f t="shared" si="11"/>
        <v>0</v>
      </c>
      <c r="CY625" s="2377"/>
      <c r="CZ625" s="2377"/>
      <c r="DA625" s="2377"/>
      <c r="DB625" s="2377"/>
      <c r="DC625" s="2377">
        <f t="shared" si="12"/>
        <v>0</v>
      </c>
      <c r="DD625" s="2377"/>
      <c r="DE625" s="2377"/>
      <c r="DF625" s="2377"/>
      <c r="DG625" s="2377"/>
      <c r="DH625" s="2377">
        <f t="shared" si="13"/>
        <v>0</v>
      </c>
      <c r="DI625" s="2377"/>
      <c r="DJ625" s="2377"/>
      <c r="DK625" s="2377"/>
      <c r="DL625" s="2377"/>
      <c r="DM625" s="2377">
        <f t="shared" si="14"/>
        <v>0</v>
      </c>
      <c r="DN625" s="2377"/>
      <c r="DO625" s="2377"/>
      <c r="DP625" s="2377"/>
      <c r="DQ625" s="2377"/>
      <c r="DR625" s="2377">
        <f t="shared" si="15"/>
        <v>0</v>
      </c>
      <c r="DS625" s="2377"/>
      <c r="DT625" s="2377"/>
      <c r="DU625" s="2377"/>
      <c r="DV625" s="2377"/>
      <c r="DX625" s="2021" t="str">
        <f t="shared" si="16"/>
        <v xml:space="preserve"> </v>
      </c>
      <c r="DY625" s="2183"/>
      <c r="DZ625" s="2183"/>
      <c r="EA625" s="2183"/>
      <c r="EB625" s="2022"/>
      <c r="EC625" s="2021" t="str">
        <f t="shared" si="17"/>
        <v xml:space="preserve"> </v>
      </c>
      <c r="ED625" s="2183"/>
      <c r="EE625" s="2183"/>
      <c r="EF625" s="2183"/>
      <c r="EG625" s="2022"/>
      <c r="EH625" s="2021" t="str">
        <f t="shared" si="18"/>
        <v xml:space="preserve"> </v>
      </c>
      <c r="EI625" s="2183"/>
      <c r="EJ625" s="2183"/>
      <c r="EK625" s="2183"/>
      <c r="EL625" s="2022"/>
      <c r="EM625" s="2021" t="str">
        <f t="shared" si="19"/>
        <v xml:space="preserve"> </v>
      </c>
      <c r="EN625" s="2183"/>
      <c r="EO625" s="2183"/>
      <c r="EP625" s="2183"/>
      <c r="EQ625" s="2022"/>
      <c r="ER625" s="2021" t="str">
        <f t="shared" si="20"/>
        <v xml:space="preserve"> </v>
      </c>
      <c r="ES625" s="2183"/>
      <c r="ET625" s="2183"/>
      <c r="EU625" s="2183"/>
      <c r="EV625" s="2022"/>
      <c r="EW625" s="2021" t="str">
        <f t="shared" si="21"/>
        <v xml:space="preserve"> </v>
      </c>
      <c r="EX625" s="2183"/>
      <c r="EY625" s="2183"/>
      <c r="EZ625" s="2183"/>
      <c r="FA625" s="2022"/>
    </row>
    <row r="626" spans="1:157" ht="12.5">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77">
        <f t="shared" si="10"/>
        <v>0</v>
      </c>
      <c r="CT626" s="2377"/>
      <c r="CU626" s="2377"/>
      <c r="CV626" s="2377"/>
      <c r="CW626" s="2377"/>
      <c r="CX626" s="2377">
        <f t="shared" si="11"/>
        <v>0</v>
      </c>
      <c r="CY626" s="2377"/>
      <c r="CZ626" s="2377"/>
      <c r="DA626" s="2377"/>
      <c r="DB626" s="2377"/>
      <c r="DC626" s="2377">
        <f t="shared" si="12"/>
        <v>0</v>
      </c>
      <c r="DD626" s="2377"/>
      <c r="DE626" s="2377"/>
      <c r="DF626" s="2377"/>
      <c r="DG626" s="2377"/>
      <c r="DH626" s="2377">
        <f t="shared" si="13"/>
        <v>0</v>
      </c>
      <c r="DI626" s="2377"/>
      <c r="DJ626" s="2377"/>
      <c r="DK626" s="2377"/>
      <c r="DL626" s="2377"/>
      <c r="DM626" s="2377">
        <f t="shared" si="14"/>
        <v>0</v>
      </c>
      <c r="DN626" s="2377"/>
      <c r="DO626" s="2377"/>
      <c r="DP626" s="2377"/>
      <c r="DQ626" s="2377"/>
      <c r="DR626" s="2377">
        <f t="shared" si="15"/>
        <v>0</v>
      </c>
      <c r="DS626" s="2377"/>
      <c r="DT626" s="2377"/>
      <c r="DU626" s="2377"/>
      <c r="DV626" s="2377"/>
      <c r="DX626" s="2021" t="str">
        <f t="shared" si="16"/>
        <v xml:space="preserve"> </v>
      </c>
      <c r="DY626" s="2183"/>
      <c r="DZ626" s="2183"/>
      <c r="EA626" s="2183"/>
      <c r="EB626" s="2022"/>
      <c r="EC626" s="2021" t="str">
        <f t="shared" si="17"/>
        <v xml:space="preserve"> </v>
      </c>
      <c r="ED626" s="2183"/>
      <c r="EE626" s="2183"/>
      <c r="EF626" s="2183"/>
      <c r="EG626" s="2022"/>
      <c r="EH626" s="2021" t="str">
        <f t="shared" si="18"/>
        <v xml:space="preserve"> </v>
      </c>
      <c r="EI626" s="2183"/>
      <c r="EJ626" s="2183"/>
      <c r="EK626" s="2183"/>
      <c r="EL626" s="2022"/>
      <c r="EM626" s="2021" t="str">
        <f t="shared" si="19"/>
        <v xml:space="preserve"> </v>
      </c>
      <c r="EN626" s="2183"/>
      <c r="EO626" s="2183"/>
      <c r="EP626" s="2183"/>
      <c r="EQ626" s="2022"/>
      <c r="ER626" s="2021" t="str">
        <f t="shared" si="20"/>
        <v xml:space="preserve"> </v>
      </c>
      <c r="ES626" s="2183"/>
      <c r="ET626" s="2183"/>
      <c r="EU626" s="2183"/>
      <c r="EV626" s="2022"/>
      <c r="EW626" s="2021" t="str">
        <f t="shared" si="21"/>
        <v xml:space="preserve"> </v>
      </c>
      <c r="EX626" s="2183"/>
      <c r="EY626" s="2183"/>
      <c r="EZ626" s="2183"/>
      <c r="FA626" s="2022"/>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77">
        <f t="shared" si="10"/>
        <v>0</v>
      </c>
      <c r="CT627" s="2377"/>
      <c r="CU627" s="2377"/>
      <c r="CV627" s="2377"/>
      <c r="CW627" s="2377"/>
      <c r="CX627" s="2377">
        <f t="shared" si="11"/>
        <v>0</v>
      </c>
      <c r="CY627" s="2377"/>
      <c r="CZ627" s="2377"/>
      <c r="DA627" s="2377"/>
      <c r="DB627" s="2377"/>
      <c r="DC627" s="2377">
        <f t="shared" si="12"/>
        <v>0</v>
      </c>
      <c r="DD627" s="2377"/>
      <c r="DE627" s="2377"/>
      <c r="DF627" s="2377"/>
      <c r="DG627" s="2377"/>
      <c r="DH627" s="2377">
        <f t="shared" si="13"/>
        <v>0</v>
      </c>
      <c r="DI627" s="2377"/>
      <c r="DJ627" s="2377"/>
      <c r="DK627" s="2377"/>
      <c r="DL627" s="2377"/>
      <c r="DM627" s="2377">
        <f t="shared" si="14"/>
        <v>0</v>
      </c>
      <c r="DN627" s="2377"/>
      <c r="DO627" s="2377"/>
      <c r="DP627" s="2377"/>
      <c r="DQ627" s="2377"/>
      <c r="DR627" s="2377">
        <f t="shared" si="15"/>
        <v>0</v>
      </c>
      <c r="DS627" s="2377"/>
      <c r="DT627" s="2377"/>
      <c r="DU627" s="2377"/>
      <c r="DV627" s="2377"/>
      <c r="DX627" s="2021" t="str">
        <f t="shared" si="16"/>
        <v xml:space="preserve"> </v>
      </c>
      <c r="DY627" s="2183"/>
      <c r="DZ627" s="2183"/>
      <c r="EA627" s="2183"/>
      <c r="EB627" s="2022"/>
      <c r="EC627" s="2021" t="str">
        <f t="shared" si="17"/>
        <v xml:space="preserve"> </v>
      </c>
      <c r="ED627" s="2183"/>
      <c r="EE627" s="2183"/>
      <c r="EF627" s="2183"/>
      <c r="EG627" s="2022"/>
      <c r="EH627" s="2021" t="str">
        <f t="shared" si="18"/>
        <v xml:space="preserve"> </v>
      </c>
      <c r="EI627" s="2183"/>
      <c r="EJ627" s="2183"/>
      <c r="EK627" s="2183"/>
      <c r="EL627" s="2022"/>
      <c r="EM627" s="2021" t="str">
        <f t="shared" si="19"/>
        <v xml:space="preserve"> </v>
      </c>
      <c r="EN627" s="2183"/>
      <c r="EO627" s="2183"/>
      <c r="EP627" s="2183"/>
      <c r="EQ627" s="2022"/>
      <c r="ER627" s="2021" t="str">
        <f t="shared" si="20"/>
        <v xml:space="preserve"> </v>
      </c>
      <c r="ES627" s="2183"/>
      <c r="ET627" s="2183"/>
      <c r="EU627" s="2183"/>
      <c r="EV627" s="2022"/>
      <c r="EW627" s="2021" t="str">
        <f t="shared" si="21"/>
        <v xml:space="preserve"> </v>
      </c>
      <c r="EX627" s="2183"/>
      <c r="EY627" s="2183"/>
      <c r="EZ627" s="2183"/>
      <c r="FA627" s="2022"/>
    </row>
    <row r="628" spans="1:157" ht="13">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77">
        <f t="shared" si="10"/>
        <v>0</v>
      </c>
      <c r="CT628" s="2377"/>
      <c r="CU628" s="2377"/>
      <c r="CV628" s="2377"/>
      <c r="CW628" s="2377"/>
      <c r="CX628" s="2377">
        <f t="shared" si="11"/>
        <v>0</v>
      </c>
      <c r="CY628" s="2377"/>
      <c r="CZ628" s="2377"/>
      <c r="DA628" s="2377"/>
      <c r="DB628" s="2377"/>
      <c r="DC628" s="2377">
        <f t="shared" si="12"/>
        <v>0</v>
      </c>
      <c r="DD628" s="2377"/>
      <c r="DE628" s="2377"/>
      <c r="DF628" s="2377"/>
      <c r="DG628" s="2377"/>
      <c r="DH628" s="2377">
        <f t="shared" si="13"/>
        <v>0</v>
      </c>
      <c r="DI628" s="2377"/>
      <c r="DJ628" s="2377"/>
      <c r="DK628" s="2377"/>
      <c r="DL628" s="2377"/>
      <c r="DM628" s="2377">
        <f t="shared" si="14"/>
        <v>0</v>
      </c>
      <c r="DN628" s="2377"/>
      <c r="DO628" s="2377"/>
      <c r="DP628" s="2377"/>
      <c r="DQ628" s="2377"/>
      <c r="DR628" s="2377">
        <f t="shared" si="15"/>
        <v>0</v>
      </c>
      <c r="DS628" s="2377"/>
      <c r="DT628" s="2377"/>
      <c r="DU628" s="2377"/>
      <c r="DV628" s="2377"/>
      <c r="DX628" s="2021" t="str">
        <f t="shared" si="16"/>
        <v xml:space="preserve"> </v>
      </c>
      <c r="DY628" s="2183"/>
      <c r="DZ628" s="2183"/>
      <c r="EA628" s="2183"/>
      <c r="EB628" s="2022"/>
      <c r="EC628" s="2021" t="str">
        <f t="shared" si="17"/>
        <v xml:space="preserve"> </v>
      </c>
      <c r="ED628" s="2183"/>
      <c r="EE628" s="2183"/>
      <c r="EF628" s="2183"/>
      <c r="EG628" s="2022"/>
      <c r="EH628" s="2021" t="str">
        <f t="shared" si="18"/>
        <v xml:space="preserve"> </v>
      </c>
      <c r="EI628" s="2183"/>
      <c r="EJ628" s="2183"/>
      <c r="EK628" s="2183"/>
      <c r="EL628" s="2022"/>
      <c r="EM628" s="2021" t="str">
        <f t="shared" si="19"/>
        <v xml:space="preserve"> </v>
      </c>
      <c r="EN628" s="2183"/>
      <c r="EO628" s="2183"/>
      <c r="EP628" s="2183"/>
      <c r="EQ628" s="2022"/>
      <c r="ER628" s="2021" t="str">
        <f t="shared" si="20"/>
        <v xml:space="preserve"> </v>
      </c>
      <c r="ES628" s="2183"/>
      <c r="ET628" s="2183"/>
      <c r="EU628" s="2183"/>
      <c r="EV628" s="2022"/>
      <c r="EW628" s="2021" t="str">
        <f t="shared" si="21"/>
        <v xml:space="preserve"> </v>
      </c>
      <c r="EX628" s="2183"/>
      <c r="EY628" s="2183"/>
      <c r="EZ628" s="2183"/>
      <c r="FA628" s="2022"/>
    </row>
    <row r="629" spans="1:157" ht="12.5">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77">
        <f t="shared" si="10"/>
        <v>0</v>
      </c>
      <c r="CT629" s="2377"/>
      <c r="CU629" s="2377"/>
      <c r="CV629" s="2377"/>
      <c r="CW629" s="2377"/>
      <c r="CX629" s="2377">
        <f t="shared" si="11"/>
        <v>0</v>
      </c>
      <c r="CY629" s="2377"/>
      <c r="CZ629" s="2377"/>
      <c r="DA629" s="2377"/>
      <c r="DB629" s="2377"/>
      <c r="DC629" s="2377">
        <f t="shared" si="12"/>
        <v>0</v>
      </c>
      <c r="DD629" s="2377"/>
      <c r="DE629" s="2377"/>
      <c r="DF629" s="2377"/>
      <c r="DG629" s="2377"/>
      <c r="DH629" s="2377">
        <f t="shared" si="13"/>
        <v>0</v>
      </c>
      <c r="DI629" s="2377"/>
      <c r="DJ629" s="2377"/>
      <c r="DK629" s="2377"/>
      <c r="DL629" s="2377"/>
      <c r="DM629" s="2377">
        <f t="shared" si="14"/>
        <v>0</v>
      </c>
      <c r="DN629" s="2377"/>
      <c r="DO629" s="2377"/>
      <c r="DP629" s="2377"/>
      <c r="DQ629" s="2377"/>
      <c r="DR629" s="2377">
        <f t="shared" si="15"/>
        <v>0</v>
      </c>
      <c r="DS629" s="2377"/>
      <c r="DT629" s="2377"/>
      <c r="DU629" s="2377"/>
      <c r="DV629" s="2377"/>
      <c r="DX629" s="2021" t="str">
        <f t="shared" si="16"/>
        <v xml:space="preserve"> </v>
      </c>
      <c r="DY629" s="2183"/>
      <c r="DZ629" s="2183"/>
      <c r="EA629" s="2183"/>
      <c r="EB629" s="2022"/>
      <c r="EC629" s="2021" t="str">
        <f t="shared" si="17"/>
        <v xml:space="preserve"> </v>
      </c>
      <c r="ED629" s="2183"/>
      <c r="EE629" s="2183"/>
      <c r="EF629" s="2183"/>
      <c r="EG629" s="2022"/>
      <c r="EH629" s="2021" t="str">
        <f t="shared" si="18"/>
        <v xml:space="preserve"> </v>
      </c>
      <c r="EI629" s="2183"/>
      <c r="EJ629" s="2183"/>
      <c r="EK629" s="2183"/>
      <c r="EL629" s="2022"/>
      <c r="EM629" s="2021" t="str">
        <f t="shared" si="19"/>
        <v xml:space="preserve"> </v>
      </c>
      <c r="EN629" s="2183"/>
      <c r="EO629" s="2183"/>
      <c r="EP629" s="2183"/>
      <c r="EQ629" s="2022"/>
      <c r="ER629" s="2021" t="str">
        <f t="shared" si="20"/>
        <v xml:space="preserve"> </v>
      </c>
      <c r="ES629" s="2183"/>
      <c r="ET629" s="2183"/>
      <c r="EU629" s="2183"/>
      <c r="EV629" s="2022"/>
      <c r="EW629" s="2021" t="str">
        <f t="shared" si="21"/>
        <v xml:space="preserve"> </v>
      </c>
      <c r="EX629" s="2183"/>
      <c r="EY629" s="2183"/>
      <c r="EZ629" s="2183"/>
      <c r="FA629" s="2022"/>
    </row>
    <row r="630" spans="1:157" ht="13">
      <c r="A630" s="50" t="s">
        <v>327</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77">
        <f t="shared" si="10"/>
        <v>0</v>
      </c>
      <c r="CT630" s="2377"/>
      <c r="CU630" s="2377"/>
      <c r="CV630" s="2377"/>
      <c r="CW630" s="2377"/>
      <c r="CX630" s="2377">
        <f t="shared" si="11"/>
        <v>0</v>
      </c>
      <c r="CY630" s="2377"/>
      <c r="CZ630" s="2377"/>
      <c r="DA630" s="2377"/>
      <c r="DB630" s="2377"/>
      <c r="DC630" s="2377">
        <f t="shared" si="12"/>
        <v>0</v>
      </c>
      <c r="DD630" s="2377"/>
      <c r="DE630" s="2377"/>
      <c r="DF630" s="2377"/>
      <c r="DG630" s="2377"/>
      <c r="DH630" s="2377">
        <f t="shared" si="13"/>
        <v>0</v>
      </c>
      <c r="DI630" s="2377"/>
      <c r="DJ630" s="2377"/>
      <c r="DK630" s="2377"/>
      <c r="DL630" s="2377"/>
      <c r="DM630" s="2377">
        <f t="shared" si="14"/>
        <v>0</v>
      </c>
      <c r="DN630" s="2377"/>
      <c r="DO630" s="2377"/>
      <c r="DP630" s="2377"/>
      <c r="DQ630" s="2377"/>
      <c r="DR630" s="2377">
        <f t="shared" si="15"/>
        <v>0</v>
      </c>
      <c r="DS630" s="2377"/>
      <c r="DT630" s="2377"/>
      <c r="DU630" s="2377"/>
      <c r="DV630" s="2377"/>
      <c r="DX630" s="2021" t="str">
        <f t="shared" si="16"/>
        <v xml:space="preserve"> </v>
      </c>
      <c r="DY630" s="2183"/>
      <c r="DZ630" s="2183"/>
      <c r="EA630" s="2183"/>
      <c r="EB630" s="2022"/>
      <c r="EC630" s="2021" t="str">
        <f t="shared" si="17"/>
        <v xml:space="preserve"> </v>
      </c>
      <c r="ED630" s="2183"/>
      <c r="EE630" s="2183"/>
      <c r="EF630" s="2183"/>
      <c r="EG630" s="2022"/>
      <c r="EH630" s="2021" t="str">
        <f t="shared" si="18"/>
        <v xml:space="preserve"> </v>
      </c>
      <c r="EI630" s="2183"/>
      <c r="EJ630" s="2183"/>
      <c r="EK630" s="2183"/>
      <c r="EL630" s="2022"/>
      <c r="EM630" s="2021" t="str">
        <f t="shared" si="19"/>
        <v xml:space="preserve"> </v>
      </c>
      <c r="EN630" s="2183"/>
      <c r="EO630" s="2183"/>
      <c r="EP630" s="2183"/>
      <c r="EQ630" s="2022"/>
      <c r="ER630" s="2021" t="str">
        <f t="shared" si="20"/>
        <v xml:space="preserve"> </v>
      </c>
      <c r="ES630" s="2183"/>
      <c r="ET630" s="2183"/>
      <c r="EU630" s="2183"/>
      <c r="EV630" s="2022"/>
      <c r="EW630" s="2021" t="str">
        <f t="shared" si="21"/>
        <v xml:space="preserve"> </v>
      </c>
      <c r="EX630" s="2183"/>
      <c r="EY630" s="2183"/>
      <c r="EZ630" s="2183"/>
      <c r="FA630" s="2022"/>
    </row>
    <row r="631" spans="1:157" ht="13">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77">
        <f t="shared" si="10"/>
        <v>0</v>
      </c>
      <c r="CT631" s="2377"/>
      <c r="CU631" s="2377"/>
      <c r="CV631" s="2377"/>
      <c r="CW631" s="2377"/>
      <c r="CX631" s="2377">
        <f t="shared" si="11"/>
        <v>0</v>
      </c>
      <c r="CY631" s="2377"/>
      <c r="CZ631" s="2377"/>
      <c r="DA631" s="2377"/>
      <c r="DB631" s="2377"/>
      <c r="DC631" s="2377">
        <f t="shared" si="12"/>
        <v>0</v>
      </c>
      <c r="DD631" s="2377"/>
      <c r="DE631" s="2377"/>
      <c r="DF631" s="2377"/>
      <c r="DG631" s="2377"/>
      <c r="DH631" s="2377">
        <f t="shared" si="13"/>
        <v>0</v>
      </c>
      <c r="DI631" s="2377"/>
      <c r="DJ631" s="2377"/>
      <c r="DK631" s="2377"/>
      <c r="DL631" s="2377"/>
      <c r="DM631" s="2377">
        <f t="shared" si="14"/>
        <v>0</v>
      </c>
      <c r="DN631" s="2377"/>
      <c r="DO631" s="2377"/>
      <c r="DP631" s="2377"/>
      <c r="DQ631" s="2377"/>
      <c r="DR631" s="2377">
        <f t="shared" si="15"/>
        <v>0</v>
      </c>
      <c r="DS631" s="2377"/>
      <c r="DT631" s="2377"/>
      <c r="DU631" s="2377"/>
      <c r="DV631" s="2377"/>
      <c r="DX631" s="2021" t="str">
        <f t="shared" si="16"/>
        <v xml:space="preserve"> </v>
      </c>
      <c r="DY631" s="2183"/>
      <c r="DZ631" s="2183"/>
      <c r="EA631" s="2183"/>
      <c r="EB631" s="2022"/>
      <c r="EC631" s="2021" t="str">
        <f t="shared" si="17"/>
        <v xml:space="preserve"> </v>
      </c>
      <c r="ED631" s="2183"/>
      <c r="EE631" s="2183"/>
      <c r="EF631" s="2183"/>
      <c r="EG631" s="2022"/>
      <c r="EH631" s="2021" t="str">
        <f t="shared" si="18"/>
        <v xml:space="preserve"> </v>
      </c>
      <c r="EI631" s="2183"/>
      <c r="EJ631" s="2183"/>
      <c r="EK631" s="2183"/>
      <c r="EL631" s="2022"/>
      <c r="EM631" s="2021" t="str">
        <f t="shared" si="19"/>
        <v xml:space="preserve"> </v>
      </c>
      <c r="EN631" s="2183"/>
      <c r="EO631" s="2183"/>
      <c r="EP631" s="2183"/>
      <c r="EQ631" s="2022"/>
      <c r="ER631" s="2021" t="str">
        <f t="shared" si="20"/>
        <v xml:space="preserve"> </v>
      </c>
      <c r="ES631" s="2183"/>
      <c r="ET631" s="2183"/>
      <c r="EU631" s="2183"/>
      <c r="EV631" s="2022"/>
      <c r="EW631" s="2021" t="str">
        <f t="shared" si="21"/>
        <v xml:space="preserve"> </v>
      </c>
      <c r="EX631" s="2183"/>
      <c r="EY631" s="2183"/>
      <c r="EZ631" s="2183"/>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77">
        <f t="shared" si="10"/>
        <v>0</v>
      </c>
      <c r="CT632" s="2377"/>
      <c r="CU632" s="2377"/>
      <c r="CV632" s="2377"/>
      <c r="CW632" s="2377"/>
      <c r="CX632" s="2377">
        <f t="shared" si="11"/>
        <v>0</v>
      </c>
      <c r="CY632" s="2377"/>
      <c r="CZ632" s="2377"/>
      <c r="DA632" s="2377"/>
      <c r="DB632" s="2377"/>
      <c r="DC632" s="2377">
        <f t="shared" si="12"/>
        <v>0</v>
      </c>
      <c r="DD632" s="2377"/>
      <c r="DE632" s="2377"/>
      <c r="DF632" s="2377"/>
      <c r="DG632" s="2377"/>
      <c r="DH632" s="2377">
        <f t="shared" si="13"/>
        <v>0</v>
      </c>
      <c r="DI632" s="2377"/>
      <c r="DJ632" s="2377"/>
      <c r="DK632" s="2377"/>
      <c r="DL632" s="2377"/>
      <c r="DM632" s="2377">
        <f t="shared" si="14"/>
        <v>0</v>
      </c>
      <c r="DN632" s="2377"/>
      <c r="DO632" s="2377"/>
      <c r="DP632" s="2377"/>
      <c r="DQ632" s="2377"/>
      <c r="DR632" s="2377">
        <f t="shared" si="15"/>
        <v>0</v>
      </c>
      <c r="DS632" s="2377"/>
      <c r="DT632" s="2377"/>
      <c r="DU632" s="2377"/>
      <c r="DV632" s="2377"/>
      <c r="DX632" s="2021" t="str">
        <f t="shared" si="16"/>
        <v xml:space="preserve"> </v>
      </c>
      <c r="DY632" s="2183"/>
      <c r="DZ632" s="2183"/>
      <c r="EA632" s="2183"/>
      <c r="EB632" s="2022"/>
      <c r="EC632" s="2021" t="str">
        <f t="shared" si="17"/>
        <v xml:space="preserve"> </v>
      </c>
      <c r="ED632" s="2183"/>
      <c r="EE632" s="2183"/>
      <c r="EF632" s="2183"/>
      <c r="EG632" s="2022"/>
      <c r="EH632" s="2021" t="str">
        <f t="shared" si="18"/>
        <v xml:space="preserve"> </v>
      </c>
      <c r="EI632" s="2183"/>
      <c r="EJ632" s="2183"/>
      <c r="EK632" s="2183"/>
      <c r="EL632" s="2022"/>
      <c r="EM632" s="2021" t="str">
        <f t="shared" si="19"/>
        <v xml:space="preserve"> </v>
      </c>
      <c r="EN632" s="2183"/>
      <c r="EO632" s="2183"/>
      <c r="EP632" s="2183"/>
      <c r="EQ632" s="2022"/>
      <c r="ER632" s="2021" t="str">
        <f t="shared" si="20"/>
        <v xml:space="preserve"> </v>
      </c>
      <c r="ES632" s="2183"/>
      <c r="ET632" s="2183"/>
      <c r="EU632" s="2183"/>
      <c r="EV632" s="2022"/>
      <c r="EW632" s="2021" t="str">
        <f t="shared" si="21"/>
        <v xml:space="preserve"> </v>
      </c>
      <c r="EX632" s="2183"/>
      <c r="EY632" s="2183"/>
      <c r="EZ632" s="2183"/>
      <c r="FA632" s="2022"/>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77">
        <f t="shared" si="10"/>
        <v>0</v>
      </c>
      <c r="CT633" s="2377"/>
      <c r="CU633" s="2377"/>
      <c r="CV633" s="2377"/>
      <c r="CW633" s="2377"/>
      <c r="CX633" s="2377">
        <f t="shared" si="11"/>
        <v>0</v>
      </c>
      <c r="CY633" s="2377"/>
      <c r="CZ633" s="2377"/>
      <c r="DA633" s="2377"/>
      <c r="DB633" s="2377"/>
      <c r="DC633" s="2377">
        <f t="shared" si="12"/>
        <v>0</v>
      </c>
      <c r="DD633" s="2377"/>
      <c r="DE633" s="2377"/>
      <c r="DF633" s="2377"/>
      <c r="DG633" s="2377"/>
      <c r="DH633" s="2377">
        <f t="shared" si="13"/>
        <v>0</v>
      </c>
      <c r="DI633" s="2377"/>
      <c r="DJ633" s="2377"/>
      <c r="DK633" s="2377"/>
      <c r="DL633" s="2377"/>
      <c r="DM633" s="2377">
        <f t="shared" si="14"/>
        <v>0</v>
      </c>
      <c r="DN633" s="2377"/>
      <c r="DO633" s="2377"/>
      <c r="DP633" s="2377"/>
      <c r="DQ633" s="2377"/>
      <c r="DR633" s="2377">
        <f t="shared" si="15"/>
        <v>0</v>
      </c>
      <c r="DS633" s="2377"/>
      <c r="DT633" s="2377"/>
      <c r="DU633" s="2377"/>
      <c r="DV633" s="2377"/>
      <c r="DX633" s="2021" t="str">
        <f t="shared" si="16"/>
        <v xml:space="preserve"> </v>
      </c>
      <c r="DY633" s="2183"/>
      <c r="DZ633" s="2183"/>
      <c r="EA633" s="2183"/>
      <c r="EB633" s="2022"/>
      <c r="EC633" s="2021" t="str">
        <f t="shared" si="17"/>
        <v xml:space="preserve"> </v>
      </c>
      <c r="ED633" s="2183"/>
      <c r="EE633" s="2183"/>
      <c r="EF633" s="2183"/>
      <c r="EG633" s="2022"/>
      <c r="EH633" s="2021" t="str">
        <f t="shared" si="18"/>
        <v xml:space="preserve"> </v>
      </c>
      <c r="EI633" s="2183"/>
      <c r="EJ633" s="2183"/>
      <c r="EK633" s="2183"/>
      <c r="EL633" s="2022"/>
      <c r="EM633" s="2021" t="str">
        <f t="shared" si="19"/>
        <v xml:space="preserve"> </v>
      </c>
      <c r="EN633" s="2183"/>
      <c r="EO633" s="2183"/>
      <c r="EP633" s="2183"/>
      <c r="EQ633" s="2022"/>
      <c r="ER633" s="2021" t="str">
        <f t="shared" si="20"/>
        <v xml:space="preserve"> </v>
      </c>
      <c r="ES633" s="2183"/>
      <c r="ET633" s="2183"/>
      <c r="EU633" s="2183"/>
      <c r="EV633" s="2022"/>
      <c r="EW633" s="2021" t="str">
        <f t="shared" si="21"/>
        <v xml:space="preserve"> </v>
      </c>
      <c r="EX633" s="2183"/>
      <c r="EY633" s="2183"/>
      <c r="EZ633" s="2183"/>
      <c r="FA633" s="2022"/>
    </row>
    <row r="634" spans="1:157" s="1820" customFormat="1" ht="12.75" customHeight="1">
      <c r="B634" s="2507" t="s">
        <v>483</v>
      </c>
      <c r="C634" s="2508"/>
      <c r="D634" s="2508"/>
      <c r="E634" s="2508"/>
      <c r="F634" s="2508"/>
      <c r="G634" s="2508"/>
      <c r="H634" s="2508"/>
      <c r="I634" s="2508"/>
      <c r="J634" s="2508"/>
      <c r="K634" s="2508"/>
      <c r="L634" s="2508"/>
      <c r="M634" s="2508"/>
      <c r="N634" s="2509"/>
      <c r="O634" s="2258" t="s">
        <v>2376</v>
      </c>
      <c r="P634" s="2168"/>
      <c r="Q634" s="2169"/>
      <c r="R634" s="2258" t="s">
        <v>2374</v>
      </c>
      <c r="S634" s="2168"/>
      <c r="T634" s="2169"/>
      <c r="U634" s="2567" t="s">
        <v>484</v>
      </c>
      <c r="V634" s="2567"/>
      <c r="W634" s="2568"/>
      <c r="X634" s="2258" t="s">
        <v>2150</v>
      </c>
      <c r="Y634" s="2168"/>
      <c r="Z634" s="2168"/>
      <c r="AA634" s="2168"/>
      <c r="AB634" s="2169"/>
      <c r="AC634" s="2424" t="s">
        <v>2148</v>
      </c>
      <c r="AD634" s="2425"/>
      <c r="AE634" s="2426"/>
      <c r="AF634" s="2258" t="s">
        <v>2151</v>
      </c>
      <c r="AG634" s="2168"/>
      <c r="AH634" s="2168"/>
      <c r="AI634" s="2168"/>
      <c r="AJ634" s="2169"/>
      <c r="AK634" s="2413" t="s">
        <v>2152</v>
      </c>
      <c r="AL634" s="2414"/>
      <c r="AM634" s="2414"/>
      <c r="AN634" s="2415"/>
      <c r="AO634" s="2268" t="s">
        <v>485</v>
      </c>
      <c r="AP634" s="2268"/>
      <c r="AQ634" s="2268"/>
      <c r="AR634" s="2268"/>
      <c r="AS634" s="2268"/>
      <c r="AT634" s="1821"/>
      <c r="AU634" s="1821"/>
      <c r="AV634" s="1821"/>
      <c r="AW634" s="1821"/>
      <c r="AX634" s="1821"/>
      <c r="AY634" s="1821"/>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77">
        <f t="shared" si="10"/>
        <v>0</v>
      </c>
      <c r="CT634" s="2377"/>
      <c r="CU634" s="2377"/>
      <c r="CV634" s="2377"/>
      <c r="CW634" s="2377"/>
      <c r="CX634" s="2377">
        <f t="shared" si="11"/>
        <v>0</v>
      </c>
      <c r="CY634" s="2377"/>
      <c r="CZ634" s="2377"/>
      <c r="DA634" s="2377"/>
      <c r="DB634" s="2377"/>
      <c r="DC634" s="2377">
        <f t="shared" si="12"/>
        <v>0</v>
      </c>
      <c r="DD634" s="2377"/>
      <c r="DE634" s="2377"/>
      <c r="DF634" s="2377"/>
      <c r="DG634" s="2377"/>
      <c r="DH634" s="2377">
        <f t="shared" si="13"/>
        <v>0</v>
      </c>
      <c r="DI634" s="2377"/>
      <c r="DJ634" s="2377"/>
      <c r="DK634" s="2377"/>
      <c r="DL634" s="2377"/>
      <c r="DM634" s="2377">
        <f t="shared" si="14"/>
        <v>0</v>
      </c>
      <c r="DN634" s="2377"/>
      <c r="DO634" s="2377"/>
      <c r="DP634" s="2377"/>
      <c r="DQ634" s="2377"/>
      <c r="DR634" s="2377">
        <f t="shared" si="15"/>
        <v>0</v>
      </c>
      <c r="DS634" s="2377"/>
      <c r="DT634" s="2377"/>
      <c r="DU634" s="2377"/>
      <c r="DV634" s="2377"/>
      <c r="DX634" s="2021" t="str">
        <f t="shared" si="16"/>
        <v xml:space="preserve"> </v>
      </c>
      <c r="DY634" s="2183"/>
      <c r="DZ634" s="2183"/>
      <c r="EA634" s="2183"/>
      <c r="EB634" s="2022"/>
      <c r="EC634" s="2021" t="str">
        <f t="shared" si="17"/>
        <v xml:space="preserve"> </v>
      </c>
      <c r="ED634" s="2183"/>
      <c r="EE634" s="2183"/>
      <c r="EF634" s="2183"/>
      <c r="EG634" s="2022"/>
      <c r="EH634" s="2021" t="str">
        <f t="shared" si="18"/>
        <v xml:space="preserve"> </v>
      </c>
      <c r="EI634" s="2183"/>
      <c r="EJ634" s="2183"/>
      <c r="EK634" s="2183"/>
      <c r="EL634" s="2022"/>
      <c r="EM634" s="2021" t="str">
        <f t="shared" si="19"/>
        <v xml:space="preserve"> </v>
      </c>
      <c r="EN634" s="2183"/>
      <c r="EO634" s="2183"/>
      <c r="EP634" s="2183"/>
      <c r="EQ634" s="2022"/>
      <c r="ER634" s="2021" t="str">
        <f t="shared" si="20"/>
        <v xml:space="preserve"> </v>
      </c>
      <c r="ES634" s="2183"/>
      <c r="ET634" s="2183"/>
      <c r="EU634" s="2183"/>
      <c r="EV634" s="2022"/>
      <c r="EW634" s="2021" t="str">
        <f t="shared" si="21"/>
        <v xml:space="preserve"> </v>
      </c>
      <c r="EX634" s="2183"/>
      <c r="EY634" s="2183"/>
      <c r="EZ634" s="2183"/>
      <c r="FA634" s="2022"/>
    </row>
    <row r="635" spans="1:157" s="1820" customFormat="1" ht="12.5">
      <c r="B635" s="2564"/>
      <c r="C635" s="2233"/>
      <c r="D635" s="2233"/>
      <c r="E635" s="2233"/>
      <c r="F635" s="2233"/>
      <c r="G635" s="2233"/>
      <c r="H635" s="2233"/>
      <c r="I635" s="2233"/>
      <c r="J635" s="2233"/>
      <c r="K635" s="2233"/>
      <c r="L635" s="2233"/>
      <c r="M635" s="2233"/>
      <c r="N635" s="2565"/>
      <c r="O635" s="2259"/>
      <c r="P635" s="2260"/>
      <c r="Q635" s="2261"/>
      <c r="R635" s="2259"/>
      <c r="S635" s="2260"/>
      <c r="T635" s="2261"/>
      <c r="U635" s="2569"/>
      <c r="V635" s="2569"/>
      <c r="W635" s="2570"/>
      <c r="X635" s="2259"/>
      <c r="Y635" s="2260"/>
      <c r="Z635" s="2260"/>
      <c r="AA635" s="2260"/>
      <c r="AB635" s="2261"/>
      <c r="AC635" s="2427"/>
      <c r="AD635" s="2428"/>
      <c r="AE635" s="2429"/>
      <c r="AF635" s="2259"/>
      <c r="AG635" s="2260"/>
      <c r="AH635" s="2260"/>
      <c r="AI635" s="2260"/>
      <c r="AJ635" s="2261"/>
      <c r="AK635" s="2416"/>
      <c r="AL635" s="2417"/>
      <c r="AM635" s="2417"/>
      <c r="AN635" s="2418"/>
      <c r="AO635" s="2268"/>
      <c r="AP635" s="2268"/>
      <c r="AQ635" s="2268"/>
      <c r="AR635" s="2268"/>
      <c r="AS635" s="2268"/>
      <c r="AT635" s="1821"/>
      <c r="AU635" s="1821"/>
      <c r="AV635" s="1821"/>
      <c r="AW635" s="1821"/>
      <c r="AX635" s="1821"/>
      <c r="AY635" s="1821"/>
      <c r="AZ635" s="181"/>
      <c r="BA635" s="181"/>
      <c r="BB635" s="181"/>
      <c r="BC635" s="181"/>
      <c r="BD635" s="181"/>
      <c r="BE635" s="181"/>
      <c r="BF635" s="181"/>
      <c r="BG635" s="2021">
        <f>SUM(BG610:BH634)</f>
        <v>0</v>
      </c>
      <c r="BH635" s="2022"/>
      <c r="BI635" s="181"/>
      <c r="BJ635" s="181"/>
      <c r="BK635" s="2021">
        <f>SUM(BK610:BL634)</f>
        <v>88</v>
      </c>
      <c r="BL635" s="2022"/>
      <c r="BM635" s="181"/>
      <c r="BN635" s="2021">
        <f>SUM(BN610:BR634)</f>
        <v>88</v>
      </c>
      <c r="BO635" s="2183"/>
      <c r="BP635" s="2183"/>
      <c r="BQ635" s="2183"/>
      <c r="BR635" s="2022"/>
      <c r="BS635" s="2184">
        <f>SUM(BS610:BW634)</f>
        <v>0</v>
      </c>
      <c r="BT635" s="2184"/>
      <c r="BU635" s="2184"/>
      <c r="BV635" s="2184"/>
      <c r="BW635" s="2184"/>
      <c r="BX635" s="2184">
        <f>SUM(BX610:CB634)</f>
        <v>0</v>
      </c>
      <c r="BY635" s="2184"/>
      <c r="BZ635" s="2184"/>
      <c r="CA635" s="2184"/>
      <c r="CB635" s="2184"/>
      <c r="CC635" s="2184">
        <f>SUM(CC610:CG634)</f>
        <v>0</v>
      </c>
      <c r="CD635" s="2184"/>
      <c r="CE635" s="2184"/>
      <c r="CF635" s="2184"/>
      <c r="CG635" s="2184"/>
      <c r="CH635" s="2184">
        <f>SUM(CH610:CL634)</f>
        <v>0</v>
      </c>
      <c r="CI635" s="2184"/>
      <c r="CJ635" s="2184"/>
      <c r="CK635" s="2184"/>
      <c r="CL635" s="2184"/>
      <c r="CM635" s="2184">
        <f>SUM(CM610:CQ634)</f>
        <v>0</v>
      </c>
      <c r="CN635" s="2184"/>
      <c r="CO635" s="2184"/>
      <c r="CP635" s="2184"/>
      <c r="CQ635" s="2184"/>
      <c r="CR635" s="696"/>
      <c r="CS635" s="2184">
        <f>SUM(CS610:CW634)</f>
        <v>88</v>
      </c>
      <c r="CT635" s="2184"/>
      <c r="CU635" s="2184"/>
      <c r="CV635" s="2184"/>
      <c r="CW635" s="2184"/>
      <c r="CX635" s="2184">
        <f>SUM(CX610:DB634)</f>
        <v>0</v>
      </c>
      <c r="CY635" s="2184"/>
      <c r="CZ635" s="2184"/>
      <c r="DA635" s="2184"/>
      <c r="DB635" s="2184"/>
      <c r="DC635" s="2184">
        <f>SUM(DC610:DG634)</f>
        <v>0</v>
      </c>
      <c r="DD635" s="2184"/>
      <c r="DE635" s="2184"/>
      <c r="DF635" s="2184"/>
      <c r="DG635" s="2184"/>
      <c r="DH635" s="2184">
        <f>SUM(DH610:DL634)</f>
        <v>0</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591</v>
      </c>
      <c r="DY635" s="2184"/>
      <c r="DZ635" s="2184"/>
      <c r="EA635" s="2184"/>
      <c r="EB635" s="2184"/>
      <c r="EC635" s="2184">
        <f>SUM(EC610:EG634)</f>
        <v>0</v>
      </c>
      <c r="ED635" s="2184"/>
      <c r="EE635" s="2184"/>
      <c r="EF635" s="2184"/>
      <c r="EG635" s="2184"/>
      <c r="EH635" s="2184">
        <f>SUM(EH610:EL634)</f>
        <v>0</v>
      </c>
      <c r="EI635" s="2184"/>
      <c r="EJ635" s="2184"/>
      <c r="EK635" s="2184"/>
      <c r="EL635" s="2184"/>
      <c r="EM635" s="2184">
        <f>SUM(EM610:EQ634)</f>
        <v>0</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20" customFormat="1" ht="13">
      <c r="B636" s="2566"/>
      <c r="C636" s="2233"/>
      <c r="D636" s="2233"/>
      <c r="E636" s="2233"/>
      <c r="F636" s="2233"/>
      <c r="G636" s="2233"/>
      <c r="H636" s="2233"/>
      <c r="I636" s="2233"/>
      <c r="J636" s="2233"/>
      <c r="K636" s="2233"/>
      <c r="L636" s="2233"/>
      <c r="M636" s="2233"/>
      <c r="N636" s="2565"/>
      <c r="O636" s="2262"/>
      <c r="P636" s="2263"/>
      <c r="Q636" s="2264"/>
      <c r="R636" s="2262"/>
      <c r="S636" s="2263"/>
      <c r="T636" s="2264"/>
      <c r="U636" s="2571"/>
      <c r="V636" s="2571"/>
      <c r="W636" s="2572"/>
      <c r="X636" s="2262"/>
      <c r="Y636" s="2263"/>
      <c r="Z636" s="2263"/>
      <c r="AA636" s="2263"/>
      <c r="AB636" s="2264"/>
      <c r="AC636" s="2430"/>
      <c r="AD636" s="2431"/>
      <c r="AE636" s="2432"/>
      <c r="AF636" s="2262"/>
      <c r="AG636" s="2263"/>
      <c r="AH636" s="2263"/>
      <c r="AI636" s="2263"/>
      <c r="AJ636" s="2264"/>
      <c r="AK636" s="2419"/>
      <c r="AL636" s="2420"/>
      <c r="AM636" s="2420"/>
      <c r="AN636" s="2421"/>
      <c r="AO636" s="2268"/>
      <c r="AP636" s="2268"/>
      <c r="AQ636" s="2268"/>
      <c r="AR636" s="2268"/>
      <c r="AS636" s="2268"/>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1">
        <f>BN635+BS635+BX635+CC635+CH635+CM635</f>
        <v>88</v>
      </c>
      <c r="CN636" s="2183"/>
      <c r="CO636" s="2183"/>
      <c r="CP636" s="2183"/>
      <c r="CQ636" s="2022"/>
      <c r="CR636" s="696"/>
      <c r="CS636" s="181"/>
      <c r="CT636" s="181"/>
      <c r="CU636" s="181"/>
      <c r="CV636" s="181"/>
      <c r="CW636" s="181"/>
      <c r="CX636" s="181"/>
      <c r="CY636" s="181"/>
      <c r="CZ636" s="181"/>
      <c r="DA636" s="181"/>
      <c r="DB636" s="181"/>
      <c r="DC636" s="181"/>
      <c r="DD636" s="181"/>
      <c r="DE636" s="181"/>
      <c r="DF636" s="181"/>
    </row>
    <row r="637" spans="1:157" ht="13">
      <c r="B637" s="83" t="s">
        <v>117</v>
      </c>
      <c r="C637" s="2134" t="s">
        <v>2604</v>
      </c>
      <c r="D637" s="2032"/>
      <c r="E637" s="2032"/>
      <c r="F637" s="2032"/>
      <c r="G637" s="2032"/>
      <c r="H637" s="2032"/>
      <c r="I637" s="2032"/>
      <c r="J637" s="2032"/>
      <c r="K637" s="2032"/>
      <c r="L637" s="2032"/>
      <c r="M637" s="2032"/>
      <c r="N637" s="2423"/>
      <c r="O637" s="2381">
        <f>17*12</f>
        <v>204</v>
      </c>
      <c r="P637" s="2382"/>
      <c r="Q637" s="2383"/>
      <c r="R637" s="2160">
        <f>35*12</f>
        <v>420</v>
      </c>
      <c r="S637" s="2161"/>
      <c r="T637" s="2162"/>
      <c r="U637" s="2393">
        <v>4.9200000000000001E-2</v>
      </c>
      <c r="V637" s="2394"/>
      <c r="W637" s="2395"/>
      <c r="X637" s="2287" t="s">
        <v>2149</v>
      </c>
      <c r="Y637" s="2562"/>
      <c r="Z637" s="2562"/>
      <c r="AA637" s="2562"/>
      <c r="AB637" s="2563"/>
      <c r="AC637" s="2135">
        <v>1</v>
      </c>
      <c r="AD637" s="2136"/>
      <c r="AE637" s="2137"/>
      <c r="AF637" s="2265">
        <v>371101</v>
      </c>
      <c r="AG637" s="2266"/>
      <c r="AH637" s="2266"/>
      <c r="AI637" s="2266"/>
      <c r="AJ637" s="2267"/>
      <c r="AK637" s="2378"/>
      <c r="AL637" s="2379"/>
      <c r="AM637" s="2379"/>
      <c r="AN637" s="2380"/>
      <c r="AO637" s="2138">
        <v>6190000</v>
      </c>
      <c r="AP637" s="2138"/>
      <c r="AQ637" s="2138"/>
      <c r="AR637" s="2138"/>
      <c r="AS637" s="2138"/>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88</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88</v>
      </c>
      <c r="CT637" s="134" t="s">
        <v>2388</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34" t="s">
        <v>2595</v>
      </c>
      <c r="D638" s="2032"/>
      <c r="E638" s="2032"/>
      <c r="F638" s="2032"/>
      <c r="G638" s="2032"/>
      <c r="H638" s="2032"/>
      <c r="I638" s="2032"/>
      <c r="J638" s="2032"/>
      <c r="K638" s="2032"/>
      <c r="L638" s="2032"/>
      <c r="M638" s="2032"/>
      <c r="N638" s="2423"/>
      <c r="O638" s="2381">
        <f>55*12</f>
        <v>660</v>
      </c>
      <c r="P638" s="2382"/>
      <c r="Q638" s="2383"/>
      <c r="R638" s="2381">
        <f>55*12</f>
        <v>660</v>
      </c>
      <c r="S638" s="2382"/>
      <c r="T638" s="2383"/>
      <c r="U638" s="2393">
        <v>0.03</v>
      </c>
      <c r="V638" s="2394"/>
      <c r="W638" s="2395"/>
      <c r="X638" s="2287" t="s">
        <v>489</v>
      </c>
      <c r="Y638" s="2562"/>
      <c r="Z638" s="2562"/>
      <c r="AA638" s="2562"/>
      <c r="AB638" s="2563"/>
      <c r="AC638" s="2135">
        <v>2</v>
      </c>
      <c r="AD638" s="2136"/>
      <c r="AE638" s="2137"/>
      <c r="AF638" s="2265"/>
      <c r="AG638" s="2266"/>
      <c r="AH638" s="2266"/>
      <c r="AI638" s="2266"/>
      <c r="AJ638" s="2267"/>
      <c r="AK638" s="2378"/>
      <c r="AL638" s="2379"/>
      <c r="AM638" s="2379"/>
      <c r="AN638" s="2380"/>
      <c r="AO638" s="2138">
        <v>8555556</v>
      </c>
      <c r="AP638" s="2138"/>
      <c r="AQ638" s="2138"/>
      <c r="AR638" s="2138"/>
      <c r="AS638" s="21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1">
        <f t="shared" ref="DX638:DX662" si="22">DX610*(BN610/$BN$635)</f>
        <v>591</v>
      </c>
      <c r="DY638" s="2561"/>
      <c r="DZ638" s="2561"/>
      <c r="EA638" s="2561"/>
      <c r="EB638" s="2561"/>
      <c r="EC638" s="2561" t="e">
        <f t="shared" ref="EC638:EC662" si="23">EC610*(BS610/$BS$635)</f>
        <v>#VALUE!</v>
      </c>
      <c r="ED638" s="2561"/>
      <c r="EE638" s="2561"/>
      <c r="EF638" s="2561"/>
      <c r="EG638" s="2561"/>
      <c r="EH638" s="2561" t="e">
        <f t="shared" ref="EH638:EH662" si="24">EH610*(BX610/$BX$635)</f>
        <v>#VALUE!</v>
      </c>
      <c r="EI638" s="2561"/>
      <c r="EJ638" s="2561"/>
      <c r="EK638" s="2561"/>
      <c r="EL638" s="2561"/>
      <c r="EM638" s="2561" t="e">
        <f t="shared" ref="EM638:EM662" si="25">EM610*(CC610/$CC$635)</f>
        <v>#VALUE!</v>
      </c>
      <c r="EN638" s="2561"/>
      <c r="EO638" s="2561"/>
      <c r="EP638" s="2561"/>
      <c r="EQ638" s="2561"/>
      <c r="ER638" s="2561" t="e">
        <f t="shared" ref="ER638:ER662" si="26">ER610*(CH610/$CH$635)</f>
        <v>#VALUE!</v>
      </c>
      <c r="ES638" s="2561"/>
      <c r="ET638" s="2561"/>
      <c r="EU638" s="2561"/>
      <c r="EV638" s="2561"/>
      <c r="EW638" s="2561" t="e">
        <f t="shared" ref="EW638:EW662" si="27">EW610*(CM610/$CM$635)</f>
        <v>#VALUE!</v>
      </c>
      <c r="EX638" s="2561"/>
      <c r="EY638" s="2561"/>
      <c r="EZ638" s="2561"/>
      <c r="FA638" s="2561"/>
    </row>
    <row r="639" spans="1:157" ht="12.75" customHeight="1">
      <c r="B639" s="84" t="s">
        <v>124</v>
      </c>
      <c r="C639" s="2134" t="s">
        <v>2605</v>
      </c>
      <c r="D639" s="2032"/>
      <c r="E639" s="2032"/>
      <c r="F639" s="2032"/>
      <c r="G639" s="2032"/>
      <c r="H639" s="2032"/>
      <c r="I639" s="2032"/>
      <c r="J639" s="2032"/>
      <c r="K639" s="2032"/>
      <c r="L639" s="2032"/>
      <c r="M639" s="2032"/>
      <c r="N639" s="2423"/>
      <c r="O639" s="2381"/>
      <c r="P639" s="2382"/>
      <c r="Q639" s="2383"/>
      <c r="R639" s="2160"/>
      <c r="S639" s="2161"/>
      <c r="T639" s="2162"/>
      <c r="U639" s="2393"/>
      <c r="V639" s="2394"/>
      <c r="W639" s="2395"/>
      <c r="X639" s="2287" t="s">
        <v>490</v>
      </c>
      <c r="Y639" s="2562"/>
      <c r="Z639" s="2562"/>
      <c r="AA639" s="2562"/>
      <c r="AB639" s="2563"/>
      <c r="AC639" s="2135"/>
      <c r="AD639" s="2136"/>
      <c r="AE639" s="2137"/>
      <c r="AF639" s="2265"/>
      <c r="AG639" s="2266"/>
      <c r="AH639" s="2266"/>
      <c r="AI639" s="2266"/>
      <c r="AJ639" s="2267"/>
      <c r="AK639" s="2378"/>
      <c r="AL639" s="2379"/>
      <c r="AM639" s="2379"/>
      <c r="AN639" s="2380"/>
      <c r="AO639" s="2138">
        <v>130923</v>
      </c>
      <c r="AP639" s="2138"/>
      <c r="AQ639" s="2138"/>
      <c r="AR639" s="2138"/>
      <c r="AS639" s="21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1" t="e">
        <f t="shared" si="22"/>
        <v>#VALUE!</v>
      </c>
      <c r="DY639" s="2561"/>
      <c r="DZ639" s="2561"/>
      <c r="EA639" s="2561"/>
      <c r="EB639" s="2561"/>
      <c r="EC639" s="2561" t="e">
        <f t="shared" si="23"/>
        <v>#VALUE!</v>
      </c>
      <c r="ED639" s="2561"/>
      <c r="EE639" s="2561"/>
      <c r="EF639" s="2561"/>
      <c r="EG639" s="2561"/>
      <c r="EH639" s="2561" t="e">
        <f t="shared" si="24"/>
        <v>#VALUE!</v>
      </c>
      <c r="EI639" s="2561"/>
      <c r="EJ639" s="2561"/>
      <c r="EK639" s="2561"/>
      <c r="EL639" s="2561"/>
      <c r="EM639" s="2561" t="e">
        <f t="shared" si="25"/>
        <v>#VALUE!</v>
      </c>
      <c r="EN639" s="2561"/>
      <c r="EO639" s="2561"/>
      <c r="EP639" s="2561"/>
      <c r="EQ639" s="2561"/>
      <c r="ER639" s="2561" t="e">
        <f t="shared" si="26"/>
        <v>#VALUE!</v>
      </c>
      <c r="ES639" s="2561"/>
      <c r="ET639" s="2561"/>
      <c r="EU639" s="2561"/>
      <c r="EV639" s="2561"/>
      <c r="EW639" s="2561" t="e">
        <f t="shared" si="27"/>
        <v>#VALUE!</v>
      </c>
      <c r="EX639" s="2561"/>
      <c r="EY639" s="2561"/>
      <c r="EZ639" s="2561"/>
      <c r="FA639" s="2561"/>
    </row>
    <row r="640" spans="1:157" ht="12.5">
      <c r="B640" s="84" t="s">
        <v>615</v>
      </c>
      <c r="C640" s="2134" t="s">
        <v>2596</v>
      </c>
      <c r="D640" s="2032"/>
      <c r="E640" s="2032"/>
      <c r="F640" s="2032"/>
      <c r="G640" s="2032"/>
      <c r="H640" s="2032"/>
      <c r="I640" s="2032"/>
      <c r="J640" s="2032"/>
      <c r="K640" s="2032"/>
      <c r="L640" s="2032"/>
      <c r="M640" s="2032"/>
      <c r="N640" s="2423"/>
      <c r="O640" s="2381">
        <f>55*12</f>
        <v>660</v>
      </c>
      <c r="P640" s="2382"/>
      <c r="Q640" s="2383"/>
      <c r="R640" s="2381">
        <f>55*12</f>
        <v>660</v>
      </c>
      <c r="S640" s="2382"/>
      <c r="T640" s="2383"/>
      <c r="U640" s="2393">
        <v>0</v>
      </c>
      <c r="V640" s="2394"/>
      <c r="W640" s="2395"/>
      <c r="X640" s="2287" t="s">
        <v>489</v>
      </c>
      <c r="Y640" s="2562"/>
      <c r="Z640" s="2562"/>
      <c r="AA640" s="2562"/>
      <c r="AB640" s="2563"/>
      <c r="AC640" s="2135">
        <v>3</v>
      </c>
      <c r="AD640" s="2136"/>
      <c r="AE640" s="2137"/>
      <c r="AF640" s="2265"/>
      <c r="AG640" s="2266"/>
      <c r="AH640" s="2266"/>
      <c r="AI640" s="2266"/>
      <c r="AJ640" s="2267"/>
      <c r="AK640" s="2378"/>
      <c r="AL640" s="2379"/>
      <c r="AM640" s="2379"/>
      <c r="AN640" s="2380"/>
      <c r="AO640" s="2138">
        <v>6020000</v>
      </c>
      <c r="AP640" s="2138"/>
      <c r="AQ640" s="2138"/>
      <c r="AR640" s="2138"/>
      <c r="AS640" s="2138"/>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1</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61" t="e">
        <f t="shared" si="22"/>
        <v>#VALUE!</v>
      </c>
      <c r="DY640" s="2561"/>
      <c r="DZ640" s="2561"/>
      <c r="EA640" s="2561"/>
      <c r="EB640" s="2561"/>
      <c r="EC640" s="2561" t="e">
        <f t="shared" si="23"/>
        <v>#VALUE!</v>
      </c>
      <c r="ED640" s="2561"/>
      <c r="EE640" s="2561"/>
      <c r="EF640" s="2561"/>
      <c r="EG640" s="2561"/>
      <c r="EH640" s="2561" t="e">
        <f t="shared" si="24"/>
        <v>#VALUE!</v>
      </c>
      <c r="EI640" s="2561"/>
      <c r="EJ640" s="2561"/>
      <c r="EK640" s="2561"/>
      <c r="EL640" s="2561"/>
      <c r="EM640" s="2561" t="e">
        <f t="shared" si="25"/>
        <v>#VALUE!</v>
      </c>
      <c r="EN640" s="2561"/>
      <c r="EO640" s="2561"/>
      <c r="EP640" s="2561"/>
      <c r="EQ640" s="2561"/>
      <c r="ER640" s="2561" t="e">
        <f t="shared" si="26"/>
        <v>#VALUE!</v>
      </c>
      <c r="ES640" s="2561"/>
      <c r="ET640" s="2561"/>
      <c r="EU640" s="2561"/>
      <c r="EV640" s="2561"/>
      <c r="EW640" s="2561" t="e">
        <f t="shared" si="27"/>
        <v>#VALUE!</v>
      </c>
      <c r="EX640" s="2561"/>
      <c r="EY640" s="2561"/>
      <c r="EZ640" s="2561"/>
      <c r="FA640" s="2561"/>
    </row>
    <row r="641" spans="1:157" ht="12.5">
      <c r="B641" s="84" t="s">
        <v>820</v>
      </c>
      <c r="C641" s="2134" t="s">
        <v>2606</v>
      </c>
      <c r="D641" s="2032"/>
      <c r="E641" s="2032"/>
      <c r="F641" s="2032"/>
      <c r="G641" s="2032"/>
      <c r="H641" s="2032"/>
      <c r="I641" s="2032"/>
      <c r="J641" s="2032"/>
      <c r="K641" s="2032"/>
      <c r="L641" s="2032"/>
      <c r="M641" s="2032"/>
      <c r="N641" s="2423"/>
      <c r="O641" s="2381"/>
      <c r="P641" s="2382"/>
      <c r="Q641" s="2383"/>
      <c r="R641" s="2160"/>
      <c r="S641" s="2161"/>
      <c r="T641" s="2162"/>
      <c r="U641" s="2393"/>
      <c r="V641" s="2394"/>
      <c r="W641" s="2395"/>
      <c r="X641" s="2287" t="s">
        <v>307</v>
      </c>
      <c r="Y641" s="2562"/>
      <c r="Z641" s="2562"/>
      <c r="AA641" s="2562"/>
      <c r="AB641" s="2563"/>
      <c r="AC641" s="2135"/>
      <c r="AD641" s="2136"/>
      <c r="AE641" s="2137"/>
      <c r="AF641" s="2265"/>
      <c r="AG641" s="2266"/>
      <c r="AH641" s="2266"/>
      <c r="AI641" s="2266"/>
      <c r="AJ641" s="2267"/>
      <c r="AK641" s="2378"/>
      <c r="AL641" s="2379"/>
      <c r="AM641" s="2379"/>
      <c r="AN641" s="2380"/>
      <c r="AO641" s="2138">
        <v>2345261</v>
      </c>
      <c r="AP641" s="2138"/>
      <c r="AQ641" s="2138"/>
      <c r="AR641" s="2138"/>
      <c r="AS641" s="2138"/>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61" t="e">
        <f t="shared" si="22"/>
        <v>#VALUE!</v>
      </c>
      <c r="DY641" s="2561"/>
      <c r="DZ641" s="2561"/>
      <c r="EA641" s="2561"/>
      <c r="EB641" s="2561"/>
      <c r="EC641" s="2561" t="e">
        <f t="shared" si="23"/>
        <v>#VALUE!</v>
      </c>
      <c r="ED641" s="2561"/>
      <c r="EE641" s="2561"/>
      <c r="EF641" s="2561"/>
      <c r="EG641" s="2561"/>
      <c r="EH641" s="2561" t="e">
        <f t="shared" si="24"/>
        <v>#VALUE!</v>
      </c>
      <c r="EI641" s="2561"/>
      <c r="EJ641" s="2561"/>
      <c r="EK641" s="2561"/>
      <c r="EL641" s="2561"/>
      <c r="EM641" s="2561" t="e">
        <f t="shared" si="25"/>
        <v>#VALUE!</v>
      </c>
      <c r="EN641" s="2561"/>
      <c r="EO641" s="2561"/>
      <c r="EP641" s="2561"/>
      <c r="EQ641" s="2561"/>
      <c r="ER641" s="2561" t="e">
        <f t="shared" si="26"/>
        <v>#VALUE!</v>
      </c>
      <c r="ES641" s="2561"/>
      <c r="ET641" s="2561"/>
      <c r="EU641" s="2561"/>
      <c r="EV641" s="2561"/>
      <c r="EW641" s="2561" t="e">
        <f t="shared" si="27"/>
        <v>#VALUE!</v>
      </c>
      <c r="EX641" s="2561"/>
      <c r="EY641" s="2561"/>
      <c r="EZ641" s="2561"/>
      <c r="FA641" s="2561"/>
    </row>
    <row r="642" spans="1:157" ht="12.5">
      <c r="B642" s="84" t="s">
        <v>618</v>
      </c>
      <c r="C642" s="2032"/>
      <c r="D642" s="2032"/>
      <c r="E642" s="2032"/>
      <c r="F642" s="2032"/>
      <c r="G642" s="2032"/>
      <c r="H642" s="2032"/>
      <c r="I642" s="2032"/>
      <c r="J642" s="2032"/>
      <c r="K642" s="2032"/>
      <c r="L642" s="2032"/>
      <c r="M642" s="2032"/>
      <c r="N642" s="2423"/>
      <c r="O642" s="2381"/>
      <c r="P642" s="2382"/>
      <c r="Q642" s="2383"/>
      <c r="R642" s="2160"/>
      <c r="S642" s="2161"/>
      <c r="T642" s="2162"/>
      <c r="U642" s="2393"/>
      <c r="V642" s="2394"/>
      <c r="W642" s="2395"/>
      <c r="X642" s="2287" t="s">
        <v>1382</v>
      </c>
      <c r="Y642" s="2562"/>
      <c r="Z642" s="2562"/>
      <c r="AA642" s="2562"/>
      <c r="AB642" s="2563"/>
      <c r="AC642" s="2135"/>
      <c r="AD642" s="2136"/>
      <c r="AE642" s="2137"/>
      <c r="AF642" s="2265"/>
      <c r="AG642" s="2266"/>
      <c r="AH642" s="2266"/>
      <c r="AI642" s="2266"/>
      <c r="AJ642" s="2267"/>
      <c r="AK642" s="2378"/>
      <c r="AL642" s="2379"/>
      <c r="AM642" s="2379"/>
      <c r="AN642" s="2380"/>
      <c r="AO642" s="2138"/>
      <c r="AP642" s="2138"/>
      <c r="AQ642" s="2138"/>
      <c r="AR642" s="2138"/>
      <c r="AS642" s="21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4"/>
      <c r="CV642" s="58"/>
      <c r="CW642" s="58"/>
      <c r="CX642" s="58"/>
      <c r="CY642" s="58"/>
      <c r="CZ642" s="58"/>
      <c r="DA642" s="58"/>
      <c r="DB642" s="58"/>
      <c r="DC642" s="58"/>
      <c r="DD642" s="58"/>
      <c r="DE642" s="58"/>
      <c r="DF642" s="58"/>
      <c r="DX642" s="2561" t="e">
        <f t="shared" si="22"/>
        <v>#VALUE!</v>
      </c>
      <c r="DY642" s="2561"/>
      <c r="DZ642" s="2561"/>
      <c r="EA642" s="2561"/>
      <c r="EB642" s="2561"/>
      <c r="EC642" s="2561" t="e">
        <f t="shared" si="23"/>
        <v>#VALUE!</v>
      </c>
      <c r="ED642" s="2561"/>
      <c r="EE642" s="2561"/>
      <c r="EF642" s="2561"/>
      <c r="EG642" s="2561"/>
      <c r="EH642" s="2561" t="e">
        <f t="shared" si="24"/>
        <v>#VALUE!</v>
      </c>
      <c r="EI642" s="2561"/>
      <c r="EJ642" s="2561"/>
      <c r="EK642" s="2561"/>
      <c r="EL642" s="2561"/>
      <c r="EM642" s="2561" t="e">
        <f t="shared" si="25"/>
        <v>#VALUE!</v>
      </c>
      <c r="EN642" s="2561"/>
      <c r="EO642" s="2561"/>
      <c r="EP642" s="2561"/>
      <c r="EQ642" s="2561"/>
      <c r="ER642" s="2561" t="e">
        <f t="shared" si="26"/>
        <v>#VALUE!</v>
      </c>
      <c r="ES642" s="2561"/>
      <c r="ET642" s="2561"/>
      <c r="EU642" s="2561"/>
      <c r="EV642" s="2561"/>
      <c r="EW642" s="2561" t="e">
        <f t="shared" si="27"/>
        <v>#VALUE!</v>
      </c>
      <c r="EX642" s="2561"/>
      <c r="EY642" s="2561"/>
      <c r="EZ642" s="2561"/>
      <c r="FA642" s="2561"/>
    </row>
    <row r="643" spans="1:157" ht="12.5">
      <c r="B643" s="84" t="s">
        <v>486</v>
      </c>
      <c r="C643" s="2032"/>
      <c r="D643" s="2032"/>
      <c r="E643" s="2032"/>
      <c r="F643" s="2032"/>
      <c r="G643" s="2032"/>
      <c r="H643" s="2032"/>
      <c r="I643" s="2032"/>
      <c r="J643" s="2032"/>
      <c r="K643" s="2032"/>
      <c r="L643" s="2032"/>
      <c r="M643" s="2032"/>
      <c r="N643" s="2423"/>
      <c r="O643" s="2381"/>
      <c r="P643" s="2382"/>
      <c r="Q643" s="2383"/>
      <c r="R643" s="2160"/>
      <c r="S643" s="2161"/>
      <c r="T643" s="2162"/>
      <c r="U643" s="2393"/>
      <c r="V643" s="2394"/>
      <c r="W643" s="2395"/>
      <c r="X643" s="2287" t="s">
        <v>1382</v>
      </c>
      <c r="Y643" s="2562"/>
      <c r="Z643" s="2562"/>
      <c r="AA643" s="2562"/>
      <c r="AB643" s="2563"/>
      <c r="AC643" s="2135"/>
      <c r="AD643" s="2136"/>
      <c r="AE643" s="2137"/>
      <c r="AF643" s="2265"/>
      <c r="AG643" s="2266"/>
      <c r="AH643" s="2266"/>
      <c r="AI643" s="2266"/>
      <c r="AJ643" s="2267"/>
      <c r="AK643" s="2378"/>
      <c r="AL643" s="2379"/>
      <c r="AM643" s="2379"/>
      <c r="AN643" s="2380"/>
      <c r="AO643" s="2138"/>
      <c r="AP643" s="2138"/>
      <c r="AQ643" s="2138"/>
      <c r="AR643" s="2138"/>
      <c r="AS643" s="21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61" t="e">
        <f t="shared" si="22"/>
        <v>#VALUE!</v>
      </c>
      <c r="DY643" s="2561"/>
      <c r="DZ643" s="2561"/>
      <c r="EA643" s="2561"/>
      <c r="EB643" s="2561"/>
      <c r="EC643" s="2561" t="e">
        <f t="shared" si="23"/>
        <v>#VALUE!</v>
      </c>
      <c r="ED643" s="2561"/>
      <c r="EE643" s="2561"/>
      <c r="EF643" s="2561"/>
      <c r="EG643" s="2561"/>
      <c r="EH643" s="2561" t="e">
        <f t="shared" si="24"/>
        <v>#VALUE!</v>
      </c>
      <c r="EI643" s="2561"/>
      <c r="EJ643" s="2561"/>
      <c r="EK643" s="2561"/>
      <c r="EL643" s="2561"/>
      <c r="EM643" s="2561" t="e">
        <f t="shared" si="25"/>
        <v>#VALUE!</v>
      </c>
      <c r="EN643" s="2561"/>
      <c r="EO643" s="2561"/>
      <c r="EP643" s="2561"/>
      <c r="EQ643" s="2561"/>
      <c r="ER643" s="2561" t="e">
        <f t="shared" si="26"/>
        <v>#VALUE!</v>
      </c>
      <c r="ES643" s="2561"/>
      <c r="ET643" s="2561"/>
      <c r="EU643" s="2561"/>
      <c r="EV643" s="2561"/>
      <c r="EW643" s="2561" t="e">
        <f t="shared" si="27"/>
        <v>#VALUE!</v>
      </c>
      <c r="EX643" s="2561"/>
      <c r="EY643" s="2561"/>
      <c r="EZ643" s="2561"/>
      <c r="FA643" s="2561"/>
    </row>
    <row r="644" spans="1:157" ht="13">
      <c r="B644" s="84" t="s">
        <v>487</v>
      </c>
      <c r="C644" s="2032"/>
      <c r="D644" s="2032"/>
      <c r="E644" s="2032"/>
      <c r="F644" s="2032"/>
      <c r="G644" s="2032"/>
      <c r="H644" s="2032"/>
      <c r="I644" s="2032"/>
      <c r="J644" s="2032"/>
      <c r="K644" s="2032"/>
      <c r="L644" s="2032"/>
      <c r="M644" s="2032"/>
      <c r="N644" s="2423"/>
      <c r="O644" s="2381"/>
      <c r="P644" s="2382"/>
      <c r="Q644" s="2383"/>
      <c r="R644" s="2160"/>
      <c r="S644" s="2161"/>
      <c r="T644" s="2162"/>
      <c r="U644" s="2393"/>
      <c r="V644" s="2394"/>
      <c r="W644" s="2395"/>
      <c r="X644" s="2287" t="s">
        <v>1382</v>
      </c>
      <c r="Y644" s="2562"/>
      <c r="Z644" s="2562"/>
      <c r="AA644" s="2562"/>
      <c r="AB644" s="2563"/>
      <c r="AC644" s="2135"/>
      <c r="AD644" s="2136"/>
      <c r="AE644" s="2137"/>
      <c r="AF644" s="2265"/>
      <c r="AG644" s="2266"/>
      <c r="AH644" s="2266"/>
      <c r="AI644" s="2266"/>
      <c r="AJ644" s="2267"/>
      <c r="AK644" s="2378"/>
      <c r="AL644" s="2379"/>
      <c r="AM644" s="2379"/>
      <c r="AN644" s="2380"/>
      <c r="AO644" s="2138"/>
      <c r="AP644" s="2138"/>
      <c r="AQ644" s="2138"/>
      <c r="AR644" s="2138"/>
      <c r="AS644" s="21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9">
        <f>BN644+BS644+BX644+CC644+CH644+CM644</f>
        <v>1</v>
      </c>
      <c r="CT644" s="134" t="s">
        <v>2385</v>
      </c>
      <c r="CU644" s="58"/>
      <c r="CV644" s="58"/>
      <c r="CW644" s="58"/>
      <c r="CX644" s="58"/>
      <c r="CY644" s="58"/>
      <c r="CZ644" s="58"/>
      <c r="DA644" s="58"/>
      <c r="DB644" s="58"/>
      <c r="DC644" s="58"/>
      <c r="DD644" s="58"/>
      <c r="DE644" s="58"/>
      <c r="DF644" s="58"/>
      <c r="DX644" s="2561" t="e">
        <f t="shared" si="22"/>
        <v>#VALUE!</v>
      </c>
      <c r="DY644" s="2561"/>
      <c r="DZ644" s="2561"/>
      <c r="EA644" s="2561"/>
      <c r="EB644" s="2561"/>
      <c r="EC644" s="2561" t="e">
        <f t="shared" si="23"/>
        <v>#VALUE!</v>
      </c>
      <c r="ED644" s="2561"/>
      <c r="EE644" s="2561"/>
      <c r="EF644" s="2561"/>
      <c r="EG644" s="2561"/>
      <c r="EH644" s="2561" t="e">
        <f t="shared" si="24"/>
        <v>#VALUE!</v>
      </c>
      <c r="EI644" s="2561"/>
      <c r="EJ644" s="2561"/>
      <c r="EK644" s="2561"/>
      <c r="EL644" s="2561"/>
      <c r="EM644" s="2561" t="e">
        <f t="shared" si="25"/>
        <v>#VALUE!</v>
      </c>
      <c r="EN644" s="2561"/>
      <c r="EO644" s="2561"/>
      <c r="EP644" s="2561"/>
      <c r="EQ644" s="2561"/>
      <c r="ER644" s="2561" t="e">
        <f t="shared" si="26"/>
        <v>#VALUE!</v>
      </c>
      <c r="ES644" s="2561"/>
      <c r="ET644" s="2561"/>
      <c r="EU644" s="2561"/>
      <c r="EV644" s="2561"/>
      <c r="EW644" s="2561" t="e">
        <f t="shared" si="27"/>
        <v>#VALUE!</v>
      </c>
      <c r="EX644" s="2561"/>
      <c r="EY644" s="2561"/>
      <c r="EZ644" s="2561"/>
      <c r="FA644" s="2561"/>
    </row>
    <row r="645" spans="1:157" ht="13">
      <c r="B645" s="84" t="s">
        <v>493</v>
      </c>
      <c r="C645" s="2032"/>
      <c r="D645" s="2032"/>
      <c r="E645" s="2032"/>
      <c r="F645" s="2032"/>
      <c r="G645" s="2032"/>
      <c r="H645" s="2032"/>
      <c r="I645" s="2032"/>
      <c r="J645" s="2032"/>
      <c r="K645" s="2032"/>
      <c r="L645" s="2032"/>
      <c r="M645" s="2032"/>
      <c r="N645" s="2423"/>
      <c r="O645" s="2381"/>
      <c r="P645" s="2382"/>
      <c r="Q645" s="2383"/>
      <c r="R645" s="2160"/>
      <c r="S645" s="2161"/>
      <c r="T645" s="2162"/>
      <c r="U645" s="2393"/>
      <c r="V645" s="2394"/>
      <c r="W645" s="2395"/>
      <c r="X645" s="2287" t="s">
        <v>1382</v>
      </c>
      <c r="Y645" s="2562"/>
      <c r="Z645" s="2562"/>
      <c r="AA645" s="2562"/>
      <c r="AB645" s="2563"/>
      <c r="AC645" s="2135"/>
      <c r="AD645" s="2136"/>
      <c r="AE645" s="2137"/>
      <c r="AF645" s="2265"/>
      <c r="AG645" s="2266"/>
      <c r="AH645" s="2266"/>
      <c r="AI645" s="2266"/>
      <c r="AJ645" s="2267"/>
      <c r="AK645" s="2378"/>
      <c r="AL645" s="2379"/>
      <c r="AM645" s="2379"/>
      <c r="AN645" s="2380"/>
      <c r="AO645" s="2138"/>
      <c r="AP645" s="2138"/>
      <c r="AQ645" s="2138"/>
      <c r="AR645" s="2138"/>
      <c r="AS645" s="21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2387</v>
      </c>
      <c r="CU645" s="58"/>
      <c r="CV645" s="58"/>
      <c r="CW645" s="58"/>
      <c r="CX645" s="58"/>
      <c r="CY645" s="58"/>
      <c r="CZ645" s="58"/>
      <c r="DA645" s="58"/>
      <c r="DB645" s="58"/>
      <c r="DC645" s="58"/>
      <c r="DD645" s="58"/>
      <c r="DE645" s="58"/>
      <c r="DF645" s="58"/>
      <c r="DX645" s="2561" t="e">
        <f t="shared" si="22"/>
        <v>#VALUE!</v>
      </c>
      <c r="DY645" s="2561"/>
      <c r="DZ645" s="2561"/>
      <c r="EA645" s="2561"/>
      <c r="EB645" s="2561"/>
      <c r="EC645" s="2561" t="e">
        <f t="shared" si="23"/>
        <v>#VALUE!</v>
      </c>
      <c r="ED645" s="2561"/>
      <c r="EE645" s="2561"/>
      <c r="EF645" s="2561"/>
      <c r="EG645" s="2561"/>
      <c r="EH645" s="2561" t="e">
        <f t="shared" si="24"/>
        <v>#VALUE!</v>
      </c>
      <c r="EI645" s="2561"/>
      <c r="EJ645" s="2561"/>
      <c r="EK645" s="2561"/>
      <c r="EL645" s="2561"/>
      <c r="EM645" s="2561" t="e">
        <f t="shared" si="25"/>
        <v>#VALUE!</v>
      </c>
      <c r="EN645" s="2561"/>
      <c r="EO645" s="2561"/>
      <c r="EP645" s="2561"/>
      <c r="EQ645" s="2561"/>
      <c r="ER645" s="2561" t="e">
        <f t="shared" si="26"/>
        <v>#VALUE!</v>
      </c>
      <c r="ES645" s="2561"/>
      <c r="ET645" s="2561"/>
      <c r="EU645" s="2561"/>
      <c r="EV645" s="2561"/>
      <c r="EW645" s="2561" t="e">
        <f t="shared" si="27"/>
        <v>#VALUE!</v>
      </c>
      <c r="EX645" s="2561"/>
      <c r="EY645" s="2561"/>
      <c r="EZ645" s="2561"/>
      <c r="FA645" s="2561"/>
    </row>
    <row r="646" spans="1:157" ht="12.5">
      <c r="B646" s="84" t="s">
        <v>680</v>
      </c>
      <c r="C646" s="2032"/>
      <c r="D646" s="2032"/>
      <c r="E646" s="2032"/>
      <c r="F646" s="2032"/>
      <c r="G646" s="2032"/>
      <c r="H646" s="2032"/>
      <c r="I646" s="2032"/>
      <c r="J646" s="2032"/>
      <c r="K646" s="2032"/>
      <c r="L646" s="2032"/>
      <c r="M646" s="2032"/>
      <c r="N646" s="2423"/>
      <c r="O646" s="2381"/>
      <c r="P646" s="2382"/>
      <c r="Q646" s="2383"/>
      <c r="R646" s="2160"/>
      <c r="S646" s="2161"/>
      <c r="T646" s="2162"/>
      <c r="U646" s="2393"/>
      <c r="V646" s="2394"/>
      <c r="W646" s="2395"/>
      <c r="X646" s="2287" t="s">
        <v>1382</v>
      </c>
      <c r="Y646" s="2562"/>
      <c r="Z646" s="2562"/>
      <c r="AA646" s="2562"/>
      <c r="AB646" s="2563"/>
      <c r="AC646" s="2135"/>
      <c r="AD646" s="2136"/>
      <c r="AE646" s="2137"/>
      <c r="AF646" s="2265"/>
      <c r="AG646" s="2266"/>
      <c r="AH646" s="2266"/>
      <c r="AI646" s="2266"/>
      <c r="AJ646" s="2267"/>
      <c r="AK646" s="2378"/>
      <c r="AL646" s="2379"/>
      <c r="AM646" s="2379"/>
      <c r="AN646" s="2380"/>
      <c r="AO646" s="2138"/>
      <c r="AP646" s="2138"/>
      <c r="AQ646" s="2138"/>
      <c r="AR646" s="2138"/>
      <c r="AS646" s="21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1" t="e">
        <f t="shared" si="22"/>
        <v>#VALUE!</v>
      </c>
      <c r="DY646" s="2561"/>
      <c r="DZ646" s="2561"/>
      <c r="EA646" s="2561"/>
      <c r="EB646" s="2561"/>
      <c r="EC646" s="2561" t="e">
        <f t="shared" si="23"/>
        <v>#VALUE!</v>
      </c>
      <c r="ED646" s="2561"/>
      <c r="EE646" s="2561"/>
      <c r="EF646" s="2561"/>
      <c r="EG646" s="2561"/>
      <c r="EH646" s="2561" t="e">
        <f t="shared" si="24"/>
        <v>#VALUE!</v>
      </c>
      <c r="EI646" s="2561"/>
      <c r="EJ646" s="2561"/>
      <c r="EK646" s="2561"/>
      <c r="EL646" s="2561"/>
      <c r="EM646" s="2561" t="e">
        <f t="shared" si="25"/>
        <v>#VALUE!</v>
      </c>
      <c r="EN646" s="2561"/>
      <c r="EO646" s="2561"/>
      <c r="EP646" s="2561"/>
      <c r="EQ646" s="2561"/>
      <c r="ER646" s="2561" t="e">
        <f t="shared" si="26"/>
        <v>#VALUE!</v>
      </c>
      <c r="ES646" s="2561"/>
      <c r="ET646" s="2561"/>
      <c r="EU646" s="2561"/>
      <c r="EV646" s="2561"/>
      <c r="EW646" s="2561" t="e">
        <f t="shared" si="27"/>
        <v>#VALUE!</v>
      </c>
      <c r="EX646" s="2561"/>
      <c r="EY646" s="2561"/>
      <c r="EZ646" s="2561"/>
      <c r="FA646" s="2561"/>
    </row>
    <row r="647" spans="1:157" ht="12.5">
      <c r="B647" s="84" t="s">
        <v>371</v>
      </c>
      <c r="C647" s="2032"/>
      <c r="D647" s="2032"/>
      <c r="E647" s="2032"/>
      <c r="F647" s="2032"/>
      <c r="G647" s="2032"/>
      <c r="H647" s="2032"/>
      <c r="I647" s="2032"/>
      <c r="J647" s="2032"/>
      <c r="K647" s="2032"/>
      <c r="L647" s="2032"/>
      <c r="M647" s="2032"/>
      <c r="N647" s="2423"/>
      <c r="O647" s="2381"/>
      <c r="P647" s="2382"/>
      <c r="Q647" s="2383"/>
      <c r="R647" s="2160"/>
      <c r="S647" s="2161"/>
      <c r="T647" s="2162"/>
      <c r="U647" s="2393"/>
      <c r="V647" s="2394"/>
      <c r="W647" s="2395"/>
      <c r="X647" s="2287" t="s">
        <v>1382</v>
      </c>
      <c r="Y647" s="2562"/>
      <c r="Z647" s="2562"/>
      <c r="AA647" s="2562"/>
      <c r="AB647" s="2563"/>
      <c r="AC647" s="2135"/>
      <c r="AD647" s="2136"/>
      <c r="AE647" s="2137"/>
      <c r="AF647" s="2265"/>
      <c r="AG647" s="2266"/>
      <c r="AH647" s="2266"/>
      <c r="AI647" s="2266"/>
      <c r="AJ647" s="2267"/>
      <c r="AK647" s="2378"/>
      <c r="AL647" s="2379"/>
      <c r="AM647" s="2379"/>
      <c r="AN647" s="2380"/>
      <c r="AO647" s="2138"/>
      <c r="AP647" s="2138"/>
      <c r="AQ647" s="2138"/>
      <c r="AR647" s="2138"/>
      <c r="AS647" s="21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1" t="e">
        <f t="shared" si="22"/>
        <v>#VALUE!</v>
      </c>
      <c r="DY647" s="2561"/>
      <c r="DZ647" s="2561"/>
      <c r="EA647" s="2561"/>
      <c r="EB647" s="2561"/>
      <c r="EC647" s="2561" t="e">
        <f t="shared" si="23"/>
        <v>#VALUE!</v>
      </c>
      <c r="ED647" s="2561"/>
      <c r="EE647" s="2561"/>
      <c r="EF647" s="2561"/>
      <c r="EG647" s="2561"/>
      <c r="EH647" s="2561" t="e">
        <f t="shared" si="24"/>
        <v>#VALUE!</v>
      </c>
      <c r="EI647" s="2561"/>
      <c r="EJ647" s="2561"/>
      <c r="EK647" s="2561"/>
      <c r="EL647" s="2561"/>
      <c r="EM647" s="2561" t="e">
        <f t="shared" si="25"/>
        <v>#VALUE!</v>
      </c>
      <c r="EN647" s="2561"/>
      <c r="EO647" s="2561"/>
      <c r="EP647" s="2561"/>
      <c r="EQ647" s="2561"/>
      <c r="ER647" s="2561" t="e">
        <f t="shared" si="26"/>
        <v>#VALUE!</v>
      </c>
      <c r="ES647" s="2561"/>
      <c r="ET647" s="2561"/>
      <c r="EU647" s="2561"/>
      <c r="EV647" s="2561"/>
      <c r="EW647" s="2561" t="e">
        <f t="shared" si="27"/>
        <v>#VALUE!</v>
      </c>
      <c r="EX647" s="2561"/>
      <c r="EY647" s="2561"/>
      <c r="EZ647" s="2561"/>
      <c r="FA647" s="2561"/>
    </row>
    <row r="648" spans="1:157" ht="12.5">
      <c r="B648" s="84" t="s">
        <v>372</v>
      </c>
      <c r="C648" s="2032"/>
      <c r="D648" s="2032"/>
      <c r="E648" s="2032"/>
      <c r="F648" s="2032"/>
      <c r="G648" s="2032"/>
      <c r="H648" s="2032"/>
      <c r="I648" s="2032"/>
      <c r="J648" s="2032"/>
      <c r="K648" s="2032"/>
      <c r="L648" s="2032"/>
      <c r="M648" s="2032"/>
      <c r="N648" s="2423"/>
      <c r="O648" s="2381"/>
      <c r="P648" s="2382"/>
      <c r="Q648" s="2383"/>
      <c r="R648" s="2160"/>
      <c r="S648" s="2161"/>
      <c r="T648" s="2162"/>
      <c r="U648" s="2393"/>
      <c r="V648" s="2394"/>
      <c r="W648" s="2395"/>
      <c r="X648" s="2287" t="s">
        <v>1382</v>
      </c>
      <c r="Y648" s="2562"/>
      <c r="Z648" s="2562"/>
      <c r="AA648" s="2562"/>
      <c r="AB648" s="2563"/>
      <c r="AC648" s="2135"/>
      <c r="AD648" s="2136"/>
      <c r="AE648" s="2137"/>
      <c r="AF648" s="2265"/>
      <c r="AG648" s="2266"/>
      <c r="AH648" s="2266"/>
      <c r="AI648" s="2266"/>
      <c r="AJ648" s="2267"/>
      <c r="AK648" s="2378"/>
      <c r="AL648" s="2379"/>
      <c r="AM648" s="2379"/>
      <c r="AN648" s="2380"/>
      <c r="AO648" s="2138"/>
      <c r="AP648" s="2138"/>
      <c r="AQ648" s="2138"/>
      <c r="AR648" s="2138"/>
      <c r="AS648" s="21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14">
        <f t="shared" ref="BS648:BS657" si="29">IF(J786="1 Bedroom",O786,0)</f>
        <v>0</v>
      </c>
      <c r="BT648" s="2014"/>
      <c r="BU648" s="2014"/>
      <c r="BV648" s="2014"/>
      <c r="BW648" s="2014"/>
      <c r="BX648" s="2014">
        <f t="shared" ref="BX648:BX657" si="30">IF(J786="2 Bedrooms",O786,0)</f>
        <v>0</v>
      </c>
      <c r="BY648" s="2014"/>
      <c r="BZ648" s="2014"/>
      <c r="CA648" s="2014"/>
      <c r="CB648" s="2014"/>
      <c r="CC648" s="2014">
        <f t="shared" ref="CC648:CC657" si="31">IF(J786="3 Bedrooms",O786,0)</f>
        <v>0</v>
      </c>
      <c r="CD648" s="2014"/>
      <c r="CE648" s="2014"/>
      <c r="CF648" s="2014"/>
      <c r="CG648" s="2014"/>
      <c r="CH648" s="2014">
        <f t="shared" ref="CH648:CH657" si="32">IF(J786="4 Bedrooms",O786,0)</f>
        <v>0</v>
      </c>
      <c r="CI648" s="2014"/>
      <c r="CJ648" s="2014"/>
      <c r="CK648" s="2014"/>
      <c r="CL648" s="2014"/>
      <c r="CM648" s="2014">
        <f t="shared" ref="CM648:CM657" si="33">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61" t="e">
        <f t="shared" si="22"/>
        <v>#VALUE!</v>
      </c>
      <c r="DY648" s="2561"/>
      <c r="DZ648" s="2561"/>
      <c r="EA648" s="2561"/>
      <c r="EB648" s="2561"/>
      <c r="EC648" s="2561" t="e">
        <f t="shared" si="23"/>
        <v>#VALUE!</v>
      </c>
      <c r="ED648" s="2561"/>
      <c r="EE648" s="2561"/>
      <c r="EF648" s="2561"/>
      <c r="EG648" s="2561"/>
      <c r="EH648" s="2561" t="e">
        <f t="shared" si="24"/>
        <v>#VALUE!</v>
      </c>
      <c r="EI648" s="2561"/>
      <c r="EJ648" s="2561"/>
      <c r="EK648" s="2561"/>
      <c r="EL648" s="2561"/>
      <c r="EM648" s="2561" t="e">
        <f t="shared" si="25"/>
        <v>#VALUE!</v>
      </c>
      <c r="EN648" s="2561"/>
      <c r="EO648" s="2561"/>
      <c r="EP648" s="2561"/>
      <c r="EQ648" s="2561"/>
      <c r="ER648" s="2561" t="e">
        <f t="shared" si="26"/>
        <v>#VALUE!</v>
      </c>
      <c r="ES648" s="2561"/>
      <c r="ET648" s="2561"/>
      <c r="EU648" s="2561"/>
      <c r="EV648" s="2561"/>
      <c r="EW648" s="2561" t="e">
        <f t="shared" si="27"/>
        <v>#VALUE!</v>
      </c>
      <c r="EX648" s="2561"/>
      <c r="EY648" s="2561"/>
      <c r="EZ648" s="2561"/>
      <c r="FA648" s="2561"/>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40">
        <f>SUM(AO637:AR648)</f>
        <v>23241740</v>
      </c>
      <c r="AP649" s="2141"/>
      <c r="AQ649" s="2141"/>
      <c r="AR649" s="2141"/>
      <c r="AS649" s="2142"/>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14">
        <f t="shared" si="29"/>
        <v>0</v>
      </c>
      <c r="BT649" s="2014"/>
      <c r="BU649" s="2014"/>
      <c r="BV649" s="2014"/>
      <c r="BW649" s="2014"/>
      <c r="BX649" s="2014">
        <f t="shared" si="30"/>
        <v>0</v>
      </c>
      <c r="BY649" s="2014"/>
      <c r="BZ649" s="2014"/>
      <c r="CA649" s="2014"/>
      <c r="CB649" s="2014"/>
      <c r="CC649" s="2014">
        <f t="shared" si="31"/>
        <v>0</v>
      </c>
      <c r="CD649" s="2014"/>
      <c r="CE649" s="2014"/>
      <c r="CF649" s="2014"/>
      <c r="CG649" s="2014"/>
      <c r="CH649" s="2014">
        <f t="shared" si="32"/>
        <v>0</v>
      </c>
      <c r="CI649" s="2014"/>
      <c r="CJ649" s="2014"/>
      <c r="CK649" s="2014"/>
      <c r="CL649" s="2014"/>
      <c r="CM649" s="2014">
        <f t="shared" si="33"/>
        <v>0</v>
      </c>
      <c r="CN649" s="2014"/>
      <c r="CO649" s="2014"/>
      <c r="CP649" s="2014"/>
      <c r="CQ649" s="2014"/>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561" t="e">
        <f t="shared" si="22"/>
        <v>#VALUE!</v>
      </c>
      <c r="DY649" s="2561"/>
      <c r="DZ649" s="2561"/>
      <c r="EA649" s="2561"/>
      <c r="EB649" s="2561"/>
      <c r="EC649" s="2561" t="e">
        <f t="shared" si="23"/>
        <v>#VALUE!</v>
      </c>
      <c r="ED649" s="2561"/>
      <c r="EE649" s="2561"/>
      <c r="EF649" s="2561"/>
      <c r="EG649" s="2561"/>
      <c r="EH649" s="2561" t="e">
        <f t="shared" si="24"/>
        <v>#VALUE!</v>
      </c>
      <c r="EI649" s="2561"/>
      <c r="EJ649" s="2561"/>
      <c r="EK649" s="2561"/>
      <c r="EL649" s="2561"/>
      <c r="EM649" s="2561" t="e">
        <f t="shared" si="25"/>
        <v>#VALUE!</v>
      </c>
      <c r="EN649" s="2561"/>
      <c r="EO649" s="2561"/>
      <c r="EP649" s="2561"/>
      <c r="EQ649" s="2561"/>
      <c r="ER649" s="2561" t="e">
        <f t="shared" si="26"/>
        <v>#VALUE!</v>
      </c>
      <c r="ES649" s="2561"/>
      <c r="ET649" s="2561"/>
      <c r="EU649" s="2561"/>
      <c r="EV649" s="2561"/>
      <c r="EW649" s="2561" t="e">
        <f t="shared" si="27"/>
        <v>#VALUE!</v>
      </c>
      <c r="EX649" s="2561"/>
      <c r="EY649" s="2561"/>
      <c r="EZ649" s="2561"/>
      <c r="FA649" s="2561"/>
    </row>
    <row r="650" spans="1:157" ht="12.75" customHeight="1">
      <c r="B650" s="2187" t="s">
        <v>272</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4">
        <f>21718971-165300+1</f>
        <v>21553672</v>
      </c>
      <c r="AP650" s="2035"/>
      <c r="AQ650" s="2035"/>
      <c r="AR650" s="2035"/>
      <c r="AS650" s="2036"/>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14">
        <f t="shared" si="29"/>
        <v>0</v>
      </c>
      <c r="BT650" s="2014"/>
      <c r="BU650" s="2014"/>
      <c r="BV650" s="2014"/>
      <c r="BW650" s="2014"/>
      <c r="BX650" s="2014">
        <f t="shared" si="30"/>
        <v>0</v>
      </c>
      <c r="BY650" s="2014"/>
      <c r="BZ650" s="2014"/>
      <c r="CA650" s="2014"/>
      <c r="CB650" s="2014"/>
      <c r="CC650" s="2014">
        <f t="shared" si="31"/>
        <v>0</v>
      </c>
      <c r="CD650" s="2014"/>
      <c r="CE650" s="2014"/>
      <c r="CF650" s="2014"/>
      <c r="CG650" s="2014"/>
      <c r="CH650" s="2014">
        <f t="shared" si="32"/>
        <v>0</v>
      </c>
      <c r="CI650" s="2014"/>
      <c r="CJ650" s="2014"/>
      <c r="CK650" s="2014"/>
      <c r="CL650" s="2014"/>
      <c r="CM650" s="2014">
        <f t="shared" si="33"/>
        <v>0</v>
      </c>
      <c r="CN650" s="2014"/>
      <c r="CO650" s="2014"/>
      <c r="CP650" s="2014"/>
      <c r="CQ650" s="2014"/>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561" t="e">
        <f t="shared" si="22"/>
        <v>#VALUE!</v>
      </c>
      <c r="DY650" s="2561"/>
      <c r="DZ650" s="2561"/>
      <c r="EA650" s="2561"/>
      <c r="EB650" s="2561"/>
      <c r="EC650" s="2561" t="e">
        <f t="shared" si="23"/>
        <v>#VALUE!</v>
      </c>
      <c r="ED650" s="2561"/>
      <c r="EE650" s="2561"/>
      <c r="EF650" s="2561"/>
      <c r="EG650" s="2561"/>
      <c r="EH650" s="2561" t="e">
        <f t="shared" si="24"/>
        <v>#VALUE!</v>
      </c>
      <c r="EI650" s="2561"/>
      <c r="EJ650" s="2561"/>
      <c r="EK650" s="2561"/>
      <c r="EL650" s="2561"/>
      <c r="EM650" s="2561" t="e">
        <f t="shared" si="25"/>
        <v>#VALUE!</v>
      </c>
      <c r="EN650" s="2561"/>
      <c r="EO650" s="2561"/>
      <c r="EP650" s="2561"/>
      <c r="EQ650" s="2561"/>
      <c r="ER650" s="2561" t="e">
        <f t="shared" si="26"/>
        <v>#VALUE!</v>
      </c>
      <c r="ES650" s="2561"/>
      <c r="ET650" s="2561"/>
      <c r="EU650" s="2561"/>
      <c r="EV650" s="2561"/>
      <c r="EW650" s="2561" t="e">
        <f t="shared" si="27"/>
        <v>#VALUE!</v>
      </c>
      <c r="EX650" s="2561"/>
      <c r="EY650" s="2561"/>
      <c r="EZ650" s="2561"/>
      <c r="FA650" s="2561"/>
    </row>
    <row r="651" spans="1:157" ht="12.75" customHeight="1">
      <c r="B651" s="2256" t="s">
        <v>273</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57"/>
      <c r="AO651" s="2140">
        <f>AO649+AO650</f>
        <v>44795412</v>
      </c>
      <c r="AP651" s="2141"/>
      <c r="AQ651" s="2141"/>
      <c r="AR651" s="2141"/>
      <c r="AS651" s="2142"/>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14">
        <f t="shared" si="29"/>
        <v>0</v>
      </c>
      <c r="BT651" s="2014"/>
      <c r="BU651" s="2014"/>
      <c r="BV651" s="2014"/>
      <c r="BW651" s="2014"/>
      <c r="BX651" s="2014">
        <f t="shared" si="30"/>
        <v>0</v>
      </c>
      <c r="BY651" s="2014"/>
      <c r="BZ651" s="2014"/>
      <c r="CA651" s="2014"/>
      <c r="CB651" s="2014"/>
      <c r="CC651" s="2014">
        <f t="shared" si="31"/>
        <v>0</v>
      </c>
      <c r="CD651" s="2014"/>
      <c r="CE651" s="2014"/>
      <c r="CF651" s="2014"/>
      <c r="CG651" s="2014"/>
      <c r="CH651" s="2014">
        <f t="shared" si="32"/>
        <v>0</v>
      </c>
      <c r="CI651" s="2014"/>
      <c r="CJ651" s="2014"/>
      <c r="CK651" s="2014"/>
      <c r="CL651" s="2014"/>
      <c r="CM651" s="2014">
        <f t="shared" si="33"/>
        <v>0</v>
      </c>
      <c r="CN651" s="2014"/>
      <c r="CO651" s="2014"/>
      <c r="CP651" s="2014"/>
      <c r="CQ651" s="2014"/>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561" t="e">
        <f t="shared" si="22"/>
        <v>#VALUE!</v>
      </c>
      <c r="DY651" s="2561"/>
      <c r="DZ651" s="2561"/>
      <c r="EA651" s="2561"/>
      <c r="EB651" s="2561"/>
      <c r="EC651" s="2561" t="e">
        <f t="shared" si="23"/>
        <v>#VALUE!</v>
      </c>
      <c r="ED651" s="2561"/>
      <c r="EE651" s="2561"/>
      <c r="EF651" s="2561"/>
      <c r="EG651" s="2561"/>
      <c r="EH651" s="2561" t="e">
        <f t="shared" si="24"/>
        <v>#VALUE!</v>
      </c>
      <c r="EI651" s="2561"/>
      <c r="EJ651" s="2561"/>
      <c r="EK651" s="2561"/>
      <c r="EL651" s="2561"/>
      <c r="EM651" s="2561" t="e">
        <f t="shared" si="25"/>
        <v>#VALUE!</v>
      </c>
      <c r="EN651" s="2561"/>
      <c r="EO651" s="2561"/>
      <c r="EP651" s="2561"/>
      <c r="EQ651" s="2561"/>
      <c r="ER651" s="2561" t="e">
        <f t="shared" si="26"/>
        <v>#VALUE!</v>
      </c>
      <c r="ES651" s="2561"/>
      <c r="ET651" s="2561"/>
      <c r="EU651" s="2561"/>
      <c r="EV651" s="2561"/>
      <c r="EW651" s="2561" t="e">
        <f t="shared" si="27"/>
        <v>#VALUE!</v>
      </c>
      <c r="EX651" s="2561"/>
      <c r="EY651" s="2561"/>
      <c r="EZ651" s="2561"/>
      <c r="FA651" s="2561"/>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14">
        <f t="shared" si="29"/>
        <v>0</v>
      </c>
      <c r="BT652" s="2014"/>
      <c r="BU652" s="2014"/>
      <c r="BV652" s="2014"/>
      <c r="BW652" s="2014"/>
      <c r="BX652" s="2014">
        <f t="shared" si="30"/>
        <v>0</v>
      </c>
      <c r="BY652" s="2014"/>
      <c r="BZ652" s="2014"/>
      <c r="CA652" s="2014"/>
      <c r="CB652" s="2014"/>
      <c r="CC652" s="2014">
        <f t="shared" si="31"/>
        <v>0</v>
      </c>
      <c r="CD652" s="2014"/>
      <c r="CE652" s="2014"/>
      <c r="CF652" s="2014"/>
      <c r="CG652" s="2014"/>
      <c r="CH652" s="2014">
        <f t="shared" si="32"/>
        <v>0</v>
      </c>
      <c r="CI652" s="2014"/>
      <c r="CJ652" s="2014"/>
      <c r="CK652" s="2014"/>
      <c r="CL652" s="2014"/>
      <c r="CM652" s="2014">
        <f t="shared" si="33"/>
        <v>0</v>
      </c>
      <c r="CN652" s="2014"/>
      <c r="CO652" s="2014"/>
      <c r="CP652" s="2014"/>
      <c r="CQ652" s="2014"/>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561" t="e">
        <f t="shared" si="22"/>
        <v>#VALUE!</v>
      </c>
      <c r="DY652" s="2561"/>
      <c r="DZ652" s="2561"/>
      <c r="EA652" s="2561"/>
      <c r="EB652" s="2561"/>
      <c r="EC652" s="2561" t="e">
        <f t="shared" si="23"/>
        <v>#VALUE!</v>
      </c>
      <c r="ED652" s="2561"/>
      <c r="EE652" s="2561"/>
      <c r="EF652" s="2561"/>
      <c r="EG652" s="2561"/>
      <c r="EH652" s="2561" t="e">
        <f t="shared" si="24"/>
        <v>#VALUE!</v>
      </c>
      <c r="EI652" s="2561"/>
      <c r="EJ652" s="2561"/>
      <c r="EK652" s="2561"/>
      <c r="EL652" s="2561"/>
      <c r="EM652" s="2561" t="e">
        <f t="shared" si="25"/>
        <v>#VALUE!</v>
      </c>
      <c r="EN652" s="2561"/>
      <c r="EO652" s="2561"/>
      <c r="EP652" s="2561"/>
      <c r="EQ652" s="2561"/>
      <c r="ER652" s="2561" t="e">
        <f t="shared" si="26"/>
        <v>#VALUE!</v>
      </c>
      <c r="ES652" s="2561"/>
      <c r="ET652" s="2561"/>
      <c r="EU652" s="2561"/>
      <c r="EV652" s="2561"/>
      <c r="EW652" s="2561" t="e">
        <f t="shared" si="27"/>
        <v>#VALUE!</v>
      </c>
      <c r="EX652" s="2561"/>
      <c r="EY652" s="2561"/>
      <c r="EZ652" s="2561"/>
      <c r="FA652" s="2561"/>
    </row>
    <row r="653" spans="1:157" ht="12.5">
      <c r="A653" s="87" t="s">
        <v>117</v>
      </c>
      <c r="B653" s="12" t="s">
        <v>495</v>
      </c>
      <c r="G653" s="2043" t="str">
        <f>C637</f>
        <v>Citi - Tax-Exempt Permanent Loan</v>
      </c>
      <c r="H653" s="2043"/>
      <c r="I653" s="2043"/>
      <c r="J653" s="2043"/>
      <c r="K653" s="2043"/>
      <c r="L653" s="2043"/>
      <c r="M653" s="2043"/>
      <c r="N653" s="2043"/>
      <c r="O653" s="2043"/>
      <c r="P653" s="2043"/>
      <c r="Q653" s="2043"/>
      <c r="R653" s="2043"/>
      <c r="S653" s="14"/>
      <c r="T653" s="87" t="s">
        <v>118</v>
      </c>
      <c r="U653" s="12" t="s">
        <v>495</v>
      </c>
      <c r="Z653" s="2043" t="str">
        <f>C638</f>
        <v>HCIDLA - HHH</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14">
        <f t="shared" si="29"/>
        <v>0</v>
      </c>
      <c r="BT653" s="2014"/>
      <c r="BU653" s="2014"/>
      <c r="BV653" s="2014"/>
      <c r="BW653" s="2014"/>
      <c r="BX653" s="2014">
        <f t="shared" si="30"/>
        <v>0</v>
      </c>
      <c r="BY653" s="2014"/>
      <c r="BZ653" s="2014"/>
      <c r="CA653" s="2014"/>
      <c r="CB653" s="2014"/>
      <c r="CC653" s="2014">
        <f t="shared" si="31"/>
        <v>0</v>
      </c>
      <c r="CD653" s="2014"/>
      <c r="CE653" s="2014"/>
      <c r="CF653" s="2014"/>
      <c r="CG653" s="2014"/>
      <c r="CH653" s="2014">
        <f t="shared" si="32"/>
        <v>0</v>
      </c>
      <c r="CI653" s="2014"/>
      <c r="CJ653" s="2014"/>
      <c r="CK653" s="2014"/>
      <c r="CL653" s="2014"/>
      <c r="CM653" s="2014">
        <f t="shared" si="33"/>
        <v>0</v>
      </c>
      <c r="CN653" s="2014"/>
      <c r="CO653" s="2014"/>
      <c r="CP653" s="2014"/>
      <c r="CQ653" s="2014"/>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561" t="e">
        <f t="shared" si="22"/>
        <v>#VALUE!</v>
      </c>
      <c r="DY653" s="2561"/>
      <c r="DZ653" s="2561"/>
      <c r="EA653" s="2561"/>
      <c r="EB653" s="2561"/>
      <c r="EC653" s="2561" t="e">
        <f t="shared" si="23"/>
        <v>#VALUE!</v>
      </c>
      <c r="ED653" s="2561"/>
      <c r="EE653" s="2561"/>
      <c r="EF653" s="2561"/>
      <c r="EG653" s="2561"/>
      <c r="EH653" s="2561" t="e">
        <f t="shared" si="24"/>
        <v>#VALUE!</v>
      </c>
      <c r="EI653" s="2561"/>
      <c r="EJ653" s="2561"/>
      <c r="EK653" s="2561"/>
      <c r="EL653" s="2561"/>
      <c r="EM653" s="2561" t="e">
        <f t="shared" si="25"/>
        <v>#VALUE!</v>
      </c>
      <c r="EN653" s="2561"/>
      <c r="EO653" s="2561"/>
      <c r="EP653" s="2561"/>
      <c r="EQ653" s="2561"/>
      <c r="ER653" s="2561" t="e">
        <f t="shared" si="26"/>
        <v>#VALUE!</v>
      </c>
      <c r="ES653" s="2561"/>
      <c r="ET653" s="2561"/>
      <c r="EU653" s="2561"/>
      <c r="EV653" s="2561"/>
      <c r="EW653" s="2561" t="e">
        <f t="shared" si="27"/>
        <v>#VALUE!</v>
      </c>
      <c r="EX653" s="2561"/>
      <c r="EY653" s="2561"/>
      <c r="EZ653" s="2561"/>
      <c r="FA653" s="2561"/>
    </row>
    <row r="654" spans="1:157" ht="12.5">
      <c r="A654" s="35"/>
      <c r="B654" s="12" t="s">
        <v>90</v>
      </c>
      <c r="G654" s="2041" t="s">
        <v>2607</v>
      </c>
      <c r="H654" s="2042"/>
      <c r="I654" s="2042"/>
      <c r="J654" s="2042"/>
      <c r="K654" s="2042"/>
      <c r="L654" s="2042"/>
      <c r="M654" s="2042"/>
      <c r="N654" s="2042"/>
      <c r="O654" s="2042"/>
      <c r="P654" s="2042"/>
      <c r="Q654" s="2042"/>
      <c r="R654" s="2042"/>
      <c r="S654" s="14"/>
      <c r="T654" s="35"/>
      <c r="U654" s="12" t="s">
        <v>90</v>
      </c>
      <c r="Z654" s="2041" t="s">
        <v>2615</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14">
        <f t="shared" si="29"/>
        <v>0</v>
      </c>
      <c r="BT654" s="2014"/>
      <c r="BU654" s="2014"/>
      <c r="BV654" s="2014"/>
      <c r="BW654" s="2014"/>
      <c r="BX654" s="2014">
        <f t="shared" si="30"/>
        <v>0</v>
      </c>
      <c r="BY654" s="2014"/>
      <c r="BZ654" s="2014"/>
      <c r="CA654" s="2014"/>
      <c r="CB654" s="2014"/>
      <c r="CC654" s="2014">
        <f t="shared" si="31"/>
        <v>0</v>
      </c>
      <c r="CD654" s="2014"/>
      <c r="CE654" s="2014"/>
      <c r="CF654" s="2014"/>
      <c r="CG654" s="2014"/>
      <c r="CH654" s="2014">
        <f t="shared" si="32"/>
        <v>0</v>
      </c>
      <c r="CI654" s="2014"/>
      <c r="CJ654" s="2014"/>
      <c r="CK654" s="2014"/>
      <c r="CL654" s="2014"/>
      <c r="CM654" s="2014">
        <f t="shared" si="33"/>
        <v>0</v>
      </c>
      <c r="CN654" s="2014"/>
      <c r="CO654" s="2014"/>
      <c r="CP654" s="2014"/>
      <c r="CQ654" s="2014"/>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561" t="e">
        <f t="shared" si="22"/>
        <v>#VALUE!</v>
      </c>
      <c r="DY654" s="2561"/>
      <c r="DZ654" s="2561"/>
      <c r="EA654" s="2561"/>
      <c r="EB654" s="2561"/>
      <c r="EC654" s="2561" t="e">
        <f t="shared" si="23"/>
        <v>#VALUE!</v>
      </c>
      <c r="ED654" s="2561"/>
      <c r="EE654" s="2561"/>
      <c r="EF654" s="2561"/>
      <c r="EG654" s="2561"/>
      <c r="EH654" s="2561" t="e">
        <f t="shared" si="24"/>
        <v>#VALUE!</v>
      </c>
      <c r="EI654" s="2561"/>
      <c r="EJ654" s="2561"/>
      <c r="EK654" s="2561"/>
      <c r="EL654" s="2561"/>
      <c r="EM654" s="2561" t="e">
        <f t="shared" si="25"/>
        <v>#VALUE!</v>
      </c>
      <c r="EN654" s="2561"/>
      <c r="EO654" s="2561"/>
      <c r="EP654" s="2561"/>
      <c r="EQ654" s="2561"/>
      <c r="ER654" s="2561" t="e">
        <f t="shared" si="26"/>
        <v>#VALUE!</v>
      </c>
      <c r="ES654" s="2561"/>
      <c r="ET654" s="2561"/>
      <c r="EU654" s="2561"/>
      <c r="EV654" s="2561"/>
      <c r="EW654" s="2561" t="e">
        <f t="shared" si="27"/>
        <v>#VALUE!</v>
      </c>
      <c r="EX654" s="2561"/>
      <c r="EY654" s="2561"/>
      <c r="EZ654" s="2561"/>
      <c r="FA654" s="2561"/>
    </row>
    <row r="655" spans="1:157" ht="12.5">
      <c r="A655" s="35"/>
      <c r="B655" s="12" t="s">
        <v>614</v>
      </c>
      <c r="G655" s="2041" t="s">
        <v>526</v>
      </c>
      <c r="H655" s="2042"/>
      <c r="I655" s="2042"/>
      <c r="J655" s="2042"/>
      <c r="K655" s="2042"/>
      <c r="L655" s="2042"/>
      <c r="M655" s="2042"/>
      <c r="N655" s="2042"/>
      <c r="O655" s="2042"/>
      <c r="P655" s="2042"/>
      <c r="Q655" s="2042"/>
      <c r="R655" s="2042"/>
      <c r="S655" s="88"/>
      <c r="T655" s="35"/>
      <c r="U655" s="12" t="s">
        <v>614</v>
      </c>
      <c r="Z655" s="2134" t="s">
        <v>2566</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14">
        <f t="shared" si="29"/>
        <v>0</v>
      </c>
      <c r="BT655" s="2014"/>
      <c r="BU655" s="2014"/>
      <c r="BV655" s="2014"/>
      <c r="BW655" s="2014"/>
      <c r="BX655" s="2014">
        <f t="shared" si="30"/>
        <v>0</v>
      </c>
      <c r="BY655" s="2014"/>
      <c r="BZ655" s="2014"/>
      <c r="CA655" s="2014"/>
      <c r="CB655" s="2014"/>
      <c r="CC655" s="2014">
        <f t="shared" si="31"/>
        <v>0</v>
      </c>
      <c r="CD655" s="2014"/>
      <c r="CE655" s="2014"/>
      <c r="CF655" s="2014"/>
      <c r="CG655" s="2014"/>
      <c r="CH655" s="2014">
        <f t="shared" si="32"/>
        <v>0</v>
      </c>
      <c r="CI655" s="2014"/>
      <c r="CJ655" s="2014"/>
      <c r="CK655" s="2014"/>
      <c r="CL655" s="2014"/>
      <c r="CM655" s="2014">
        <f t="shared" si="33"/>
        <v>0</v>
      </c>
      <c r="CN655" s="2014"/>
      <c r="CO655" s="2014"/>
      <c r="CP655" s="2014"/>
      <c r="CQ655" s="2014"/>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561" t="e">
        <f t="shared" si="22"/>
        <v>#VALUE!</v>
      </c>
      <c r="DY655" s="2561"/>
      <c r="DZ655" s="2561"/>
      <c r="EA655" s="2561"/>
      <c r="EB655" s="2561"/>
      <c r="EC655" s="2561" t="e">
        <f t="shared" si="23"/>
        <v>#VALUE!</v>
      </c>
      <c r="ED655" s="2561"/>
      <c r="EE655" s="2561"/>
      <c r="EF655" s="2561"/>
      <c r="EG655" s="2561"/>
      <c r="EH655" s="2561" t="e">
        <f t="shared" si="24"/>
        <v>#VALUE!</v>
      </c>
      <c r="EI655" s="2561"/>
      <c r="EJ655" s="2561"/>
      <c r="EK655" s="2561"/>
      <c r="EL655" s="2561"/>
      <c r="EM655" s="2561" t="e">
        <f t="shared" si="25"/>
        <v>#VALUE!</v>
      </c>
      <c r="EN655" s="2561"/>
      <c r="EO655" s="2561"/>
      <c r="EP655" s="2561"/>
      <c r="EQ655" s="2561"/>
      <c r="ER655" s="2561" t="e">
        <f t="shared" si="26"/>
        <v>#VALUE!</v>
      </c>
      <c r="ES655" s="2561"/>
      <c r="ET655" s="2561"/>
      <c r="EU655" s="2561"/>
      <c r="EV655" s="2561"/>
      <c r="EW655" s="2561" t="e">
        <f t="shared" si="27"/>
        <v>#VALUE!</v>
      </c>
      <c r="EX655" s="2561"/>
      <c r="EY655" s="2561"/>
      <c r="EZ655" s="2561"/>
      <c r="FA655" s="2561"/>
    </row>
    <row r="656" spans="1:157" ht="12.5">
      <c r="A656" s="35"/>
      <c r="B656" s="12" t="s">
        <v>17</v>
      </c>
      <c r="G656" s="2041" t="s">
        <v>2608</v>
      </c>
      <c r="H656" s="2042"/>
      <c r="I656" s="2042"/>
      <c r="J656" s="2042"/>
      <c r="K656" s="2042"/>
      <c r="L656" s="2042"/>
      <c r="M656" s="2042"/>
      <c r="N656" s="2042"/>
      <c r="O656" s="2042"/>
      <c r="P656" s="2042"/>
      <c r="Q656" s="2042"/>
      <c r="R656" s="2042"/>
      <c r="S656" s="14"/>
      <c r="T656" s="35"/>
      <c r="U656" s="12" t="s">
        <v>17</v>
      </c>
      <c r="Z656" s="2134" t="s">
        <v>2616</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14">
        <f t="shared" si="29"/>
        <v>0</v>
      </c>
      <c r="BT656" s="2014"/>
      <c r="BU656" s="2014"/>
      <c r="BV656" s="2014"/>
      <c r="BW656" s="2014"/>
      <c r="BX656" s="2014">
        <f t="shared" si="30"/>
        <v>0</v>
      </c>
      <c r="BY656" s="2014"/>
      <c r="BZ656" s="2014"/>
      <c r="CA656" s="2014"/>
      <c r="CB656" s="2014"/>
      <c r="CC656" s="2014">
        <f t="shared" si="31"/>
        <v>0</v>
      </c>
      <c r="CD656" s="2014"/>
      <c r="CE656" s="2014"/>
      <c r="CF656" s="2014"/>
      <c r="CG656" s="2014"/>
      <c r="CH656" s="2014">
        <f t="shared" si="32"/>
        <v>0</v>
      </c>
      <c r="CI656" s="2014"/>
      <c r="CJ656" s="2014"/>
      <c r="CK656" s="2014"/>
      <c r="CL656" s="2014"/>
      <c r="CM656" s="2014">
        <f t="shared" si="33"/>
        <v>0</v>
      </c>
      <c r="CN656" s="2014"/>
      <c r="CO656" s="2014"/>
      <c r="CP656" s="2014"/>
      <c r="CQ656" s="2014"/>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561" t="e">
        <f t="shared" si="22"/>
        <v>#VALUE!</v>
      </c>
      <c r="DY656" s="2561"/>
      <c r="DZ656" s="2561"/>
      <c r="EA656" s="2561"/>
      <c r="EB656" s="2561"/>
      <c r="EC656" s="2561" t="e">
        <f t="shared" si="23"/>
        <v>#VALUE!</v>
      </c>
      <c r="ED656" s="2561"/>
      <c r="EE656" s="2561"/>
      <c r="EF656" s="2561"/>
      <c r="EG656" s="2561"/>
      <c r="EH656" s="2561" t="e">
        <f t="shared" si="24"/>
        <v>#VALUE!</v>
      </c>
      <c r="EI656" s="2561"/>
      <c r="EJ656" s="2561"/>
      <c r="EK656" s="2561"/>
      <c r="EL656" s="2561"/>
      <c r="EM656" s="2561" t="e">
        <f t="shared" si="25"/>
        <v>#VALUE!</v>
      </c>
      <c r="EN656" s="2561"/>
      <c r="EO656" s="2561"/>
      <c r="EP656" s="2561"/>
      <c r="EQ656" s="2561"/>
      <c r="ER656" s="2561" t="e">
        <f t="shared" si="26"/>
        <v>#VALUE!</v>
      </c>
      <c r="ES656" s="2561"/>
      <c r="ET656" s="2561"/>
      <c r="EU656" s="2561"/>
      <c r="EV656" s="2561"/>
      <c r="EW656" s="2561" t="e">
        <f t="shared" si="27"/>
        <v>#VALUE!</v>
      </c>
      <c r="EX656" s="2561"/>
      <c r="EY656" s="2561"/>
      <c r="EZ656" s="2561"/>
      <c r="FA656" s="2561"/>
    </row>
    <row r="657" spans="1:157" ht="12.5">
      <c r="A657" s="35"/>
      <c r="B657" s="12" t="s">
        <v>324</v>
      </c>
      <c r="G657" s="2186" t="s">
        <v>2609</v>
      </c>
      <c r="H657" s="2065"/>
      <c r="I657" s="2065"/>
      <c r="J657" s="2065"/>
      <c r="K657" s="2065"/>
      <c r="L657" s="2065"/>
      <c r="O657" s="137" t="s">
        <v>211</v>
      </c>
      <c r="P657" s="2032"/>
      <c r="Q657" s="2032"/>
      <c r="R657" s="2032"/>
      <c r="S657" s="16"/>
      <c r="T657" s="35"/>
      <c r="U657" s="12" t="s">
        <v>324</v>
      </c>
      <c r="Z657" s="2065">
        <v>2138088596</v>
      </c>
      <c r="AA657" s="2065"/>
      <c r="AB657" s="2065"/>
      <c r="AC657" s="2065"/>
      <c r="AD657" s="2065"/>
      <c r="AE657" s="2065"/>
      <c r="AH657" s="137" t="s">
        <v>211</v>
      </c>
      <c r="AI657" s="2032"/>
      <c r="AJ657" s="2032"/>
      <c r="AK657" s="2032"/>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14">
        <f t="shared" si="29"/>
        <v>0</v>
      </c>
      <c r="BT657" s="2014"/>
      <c r="BU657" s="2014"/>
      <c r="BV657" s="2014"/>
      <c r="BW657" s="2014"/>
      <c r="BX657" s="2014">
        <f t="shared" si="30"/>
        <v>0</v>
      </c>
      <c r="BY657" s="2014"/>
      <c r="BZ657" s="2014"/>
      <c r="CA657" s="2014"/>
      <c r="CB657" s="2014"/>
      <c r="CC657" s="2014">
        <f t="shared" si="31"/>
        <v>0</v>
      </c>
      <c r="CD657" s="2014"/>
      <c r="CE657" s="2014"/>
      <c r="CF657" s="2014"/>
      <c r="CG657" s="2014"/>
      <c r="CH657" s="2014">
        <f t="shared" si="32"/>
        <v>0</v>
      </c>
      <c r="CI657" s="2014"/>
      <c r="CJ657" s="2014"/>
      <c r="CK657" s="2014"/>
      <c r="CL657" s="2014"/>
      <c r="CM657" s="2014">
        <f t="shared" si="33"/>
        <v>0</v>
      </c>
      <c r="CN657" s="2014"/>
      <c r="CO657" s="2014"/>
      <c r="CP657" s="2014"/>
      <c r="CQ657" s="2014"/>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561" t="e">
        <f t="shared" si="22"/>
        <v>#VALUE!</v>
      </c>
      <c r="DY657" s="2561"/>
      <c r="DZ657" s="2561"/>
      <c r="EA657" s="2561"/>
      <c r="EB657" s="2561"/>
      <c r="EC657" s="2561" t="e">
        <f t="shared" si="23"/>
        <v>#VALUE!</v>
      </c>
      <c r="ED657" s="2561"/>
      <c r="EE657" s="2561"/>
      <c r="EF657" s="2561"/>
      <c r="EG657" s="2561"/>
      <c r="EH657" s="2561" t="e">
        <f t="shared" si="24"/>
        <v>#VALUE!</v>
      </c>
      <c r="EI657" s="2561"/>
      <c r="EJ657" s="2561"/>
      <c r="EK657" s="2561"/>
      <c r="EL657" s="2561"/>
      <c r="EM657" s="2561" t="e">
        <f t="shared" si="25"/>
        <v>#VALUE!</v>
      </c>
      <c r="EN657" s="2561"/>
      <c r="EO657" s="2561"/>
      <c r="EP657" s="2561"/>
      <c r="EQ657" s="2561"/>
      <c r="ER657" s="2561" t="e">
        <f t="shared" si="26"/>
        <v>#VALUE!</v>
      </c>
      <c r="ES657" s="2561"/>
      <c r="ET657" s="2561"/>
      <c r="EU657" s="2561"/>
      <c r="EV657" s="2561"/>
      <c r="EW657" s="2561" t="e">
        <f t="shared" si="27"/>
        <v>#VALUE!</v>
      </c>
      <c r="EX657" s="2561"/>
      <c r="EY657" s="2561"/>
      <c r="EZ657" s="2561"/>
      <c r="FA657" s="2561"/>
    </row>
    <row r="658" spans="1:157" ht="12.5">
      <c r="A658" s="35"/>
      <c r="B658" s="12" t="s">
        <v>18</v>
      </c>
      <c r="H658" s="2041" t="s">
        <v>2610</v>
      </c>
      <c r="I658" s="2042"/>
      <c r="J658" s="2042"/>
      <c r="K658" s="2042"/>
      <c r="L658" s="2042"/>
      <c r="M658" s="2042"/>
      <c r="N658" s="2042"/>
      <c r="O658" s="2042"/>
      <c r="P658" s="2042"/>
      <c r="Q658" s="2042"/>
      <c r="R658" s="2042"/>
      <c r="S658" s="14"/>
      <c r="T658" s="35"/>
      <c r="U658" s="12" t="s">
        <v>18</v>
      </c>
      <c r="AA658" s="2041" t="s">
        <v>2618</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4"/>
      <c r="CS658" s="2573">
        <f>SUM(CS648:CW657)</f>
        <v>0</v>
      </c>
      <c r="CT658" s="2573"/>
      <c r="CU658" s="2573"/>
      <c r="CV658" s="2573"/>
      <c r="CW658" s="2573"/>
      <c r="CX658" s="2573">
        <f>SUM(CX648:DB657)</f>
        <v>0</v>
      </c>
      <c r="CY658" s="2573"/>
      <c r="CZ658" s="2573"/>
      <c r="DA658" s="2573"/>
      <c r="DB658" s="2573"/>
      <c r="DC658" s="2573">
        <f>SUM(DC648:DG657)</f>
        <v>0</v>
      </c>
      <c r="DD658" s="2573"/>
      <c r="DE658" s="2573"/>
      <c r="DF658" s="2573"/>
      <c r="DG658" s="2573"/>
      <c r="DH658" s="2573">
        <f>SUM(DH648:DL657)</f>
        <v>0</v>
      </c>
      <c r="DI658" s="2573"/>
      <c r="DJ658" s="2573"/>
      <c r="DK658" s="2573"/>
      <c r="DL658" s="2573"/>
      <c r="DM658" s="2573">
        <f>SUM(DM648:DQ657)</f>
        <v>0</v>
      </c>
      <c r="DN658" s="2573"/>
      <c r="DO658" s="2573"/>
      <c r="DP658" s="2573"/>
      <c r="DQ658" s="2573"/>
      <c r="DR658" s="2573">
        <f>SUM(DR648:DV657)</f>
        <v>0</v>
      </c>
      <c r="DS658" s="2573"/>
      <c r="DT658" s="2573"/>
      <c r="DU658" s="2573"/>
      <c r="DV658" s="2573"/>
      <c r="DX658" s="2561" t="e">
        <f t="shared" si="22"/>
        <v>#VALUE!</v>
      </c>
      <c r="DY658" s="2561"/>
      <c r="DZ658" s="2561"/>
      <c r="EA658" s="2561"/>
      <c r="EB658" s="2561"/>
      <c r="EC658" s="2561" t="e">
        <f t="shared" si="23"/>
        <v>#VALUE!</v>
      </c>
      <c r="ED658" s="2561"/>
      <c r="EE658" s="2561"/>
      <c r="EF658" s="2561"/>
      <c r="EG658" s="2561"/>
      <c r="EH658" s="2561" t="e">
        <f t="shared" si="24"/>
        <v>#VALUE!</v>
      </c>
      <c r="EI658" s="2561"/>
      <c r="EJ658" s="2561"/>
      <c r="EK658" s="2561"/>
      <c r="EL658" s="2561"/>
      <c r="EM658" s="2561" t="e">
        <f t="shared" si="25"/>
        <v>#VALUE!</v>
      </c>
      <c r="EN658" s="2561"/>
      <c r="EO658" s="2561"/>
      <c r="EP658" s="2561"/>
      <c r="EQ658" s="2561"/>
      <c r="ER658" s="2561" t="e">
        <f t="shared" si="26"/>
        <v>#VALUE!</v>
      </c>
      <c r="ES658" s="2561"/>
      <c r="ET658" s="2561"/>
      <c r="EU658" s="2561"/>
      <c r="EV658" s="2561"/>
      <c r="EW658" s="2561" t="e">
        <f t="shared" si="27"/>
        <v>#VALUE!</v>
      </c>
      <c r="EX658" s="2561"/>
      <c r="EY658" s="2561"/>
      <c r="EZ658" s="2561"/>
      <c r="FA658" s="2561"/>
    </row>
    <row r="659" spans="1:157" ht="12.5">
      <c r="A659" s="35"/>
      <c r="B659" s="12" t="s">
        <v>20</v>
      </c>
      <c r="N659" s="2040" t="s">
        <v>577</v>
      </c>
      <c r="O659" s="2040"/>
      <c r="T659" s="35"/>
      <c r="U659" s="12" t="s">
        <v>20</v>
      </c>
      <c r="AG659" s="2040" t="s">
        <v>577</v>
      </c>
      <c r="AH659" s="2040"/>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1" t="e">
        <f t="shared" si="22"/>
        <v>#VALUE!</v>
      </c>
      <c r="DY659" s="2561"/>
      <c r="DZ659" s="2561"/>
      <c r="EA659" s="2561"/>
      <c r="EB659" s="2561"/>
      <c r="EC659" s="2561" t="e">
        <f t="shared" si="23"/>
        <v>#VALUE!</v>
      </c>
      <c r="ED659" s="2561"/>
      <c r="EE659" s="2561"/>
      <c r="EF659" s="2561"/>
      <c r="EG659" s="2561"/>
      <c r="EH659" s="2561" t="e">
        <f t="shared" si="24"/>
        <v>#VALUE!</v>
      </c>
      <c r="EI659" s="2561"/>
      <c r="EJ659" s="2561"/>
      <c r="EK659" s="2561"/>
      <c r="EL659" s="2561"/>
      <c r="EM659" s="2561" t="e">
        <f t="shared" si="25"/>
        <v>#VALUE!</v>
      </c>
      <c r="EN659" s="2561"/>
      <c r="EO659" s="2561"/>
      <c r="EP659" s="2561"/>
      <c r="EQ659" s="2561"/>
      <c r="ER659" s="2561" t="e">
        <f t="shared" si="26"/>
        <v>#VALUE!</v>
      </c>
      <c r="ES659" s="2561"/>
      <c r="ET659" s="2561"/>
      <c r="EU659" s="2561"/>
      <c r="EV659" s="2561"/>
      <c r="EW659" s="2561" t="e">
        <f t="shared" si="27"/>
        <v>#VALUE!</v>
      </c>
      <c r="EX659" s="2561"/>
      <c r="EY659" s="2561"/>
      <c r="EZ659" s="2561"/>
      <c r="FA659" s="2561"/>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61">
        <f>SUM(CS658:DV658)</f>
        <v>0</v>
      </c>
      <c r="DS660" s="2561"/>
      <c r="DT660" s="2561"/>
      <c r="DU660" s="2561"/>
      <c r="DV660" s="2561"/>
      <c r="DX660" s="2561" t="e">
        <f t="shared" si="22"/>
        <v>#VALUE!</v>
      </c>
      <c r="DY660" s="2561"/>
      <c r="DZ660" s="2561"/>
      <c r="EA660" s="2561"/>
      <c r="EB660" s="2561"/>
      <c r="EC660" s="2561" t="e">
        <f t="shared" si="23"/>
        <v>#VALUE!</v>
      </c>
      <c r="ED660" s="2561"/>
      <c r="EE660" s="2561"/>
      <c r="EF660" s="2561"/>
      <c r="EG660" s="2561"/>
      <c r="EH660" s="2561" t="e">
        <f t="shared" si="24"/>
        <v>#VALUE!</v>
      </c>
      <c r="EI660" s="2561"/>
      <c r="EJ660" s="2561"/>
      <c r="EK660" s="2561"/>
      <c r="EL660" s="2561"/>
      <c r="EM660" s="2561" t="e">
        <f t="shared" si="25"/>
        <v>#VALUE!</v>
      </c>
      <c r="EN660" s="2561"/>
      <c r="EO660" s="2561"/>
      <c r="EP660" s="2561"/>
      <c r="EQ660" s="2561"/>
      <c r="ER660" s="2561" t="e">
        <f t="shared" si="26"/>
        <v>#VALUE!</v>
      </c>
      <c r="ES660" s="2561"/>
      <c r="ET660" s="2561"/>
      <c r="EU660" s="2561"/>
      <c r="EV660" s="2561"/>
      <c r="EW660" s="2561" t="e">
        <f t="shared" si="27"/>
        <v>#VALUE!</v>
      </c>
      <c r="EX660" s="2561"/>
      <c r="EY660" s="2561"/>
      <c r="EZ660" s="2561"/>
      <c r="FA660" s="2561"/>
    </row>
    <row r="661" spans="1:157" ht="13">
      <c r="A661" s="87" t="s">
        <v>124</v>
      </c>
      <c r="B661" s="12" t="s">
        <v>495</v>
      </c>
      <c r="G661" s="2043" t="str">
        <f>C639</f>
        <v>Accrued Deferred Interest - HHH</v>
      </c>
      <c r="H661" s="2043"/>
      <c r="I661" s="2043"/>
      <c r="J661" s="2043"/>
      <c r="K661" s="2043"/>
      <c r="L661" s="2043"/>
      <c r="M661" s="2043"/>
      <c r="N661" s="2043"/>
      <c r="O661" s="2043"/>
      <c r="P661" s="2043"/>
      <c r="Q661" s="2043"/>
      <c r="R661" s="2043"/>
      <c r="T661" s="87" t="s">
        <v>615</v>
      </c>
      <c r="U661" s="12" t="s">
        <v>495</v>
      </c>
      <c r="Z661" s="2043" t="str">
        <f>C640</f>
        <v>LACDA - No Place Like Home</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561" t="e">
        <f t="shared" si="22"/>
        <v>#VALUE!</v>
      </c>
      <c r="DY661" s="2561"/>
      <c r="DZ661" s="2561"/>
      <c r="EA661" s="2561"/>
      <c r="EB661" s="2561"/>
      <c r="EC661" s="2561" t="e">
        <f t="shared" si="23"/>
        <v>#VALUE!</v>
      </c>
      <c r="ED661" s="2561"/>
      <c r="EE661" s="2561"/>
      <c r="EF661" s="2561"/>
      <c r="EG661" s="2561"/>
      <c r="EH661" s="2561" t="e">
        <f t="shared" si="24"/>
        <v>#VALUE!</v>
      </c>
      <c r="EI661" s="2561"/>
      <c r="EJ661" s="2561"/>
      <c r="EK661" s="2561"/>
      <c r="EL661" s="2561"/>
      <c r="EM661" s="2561" t="e">
        <f t="shared" si="25"/>
        <v>#VALUE!</v>
      </c>
      <c r="EN661" s="2561"/>
      <c r="EO661" s="2561"/>
      <c r="EP661" s="2561"/>
      <c r="EQ661" s="2561"/>
      <c r="ER661" s="2561" t="e">
        <f t="shared" si="26"/>
        <v>#VALUE!</v>
      </c>
      <c r="ES661" s="2561"/>
      <c r="ET661" s="2561"/>
      <c r="EU661" s="2561"/>
      <c r="EV661" s="2561"/>
      <c r="EW661" s="2561" t="e">
        <f t="shared" si="27"/>
        <v>#VALUE!</v>
      </c>
      <c r="EX661" s="2561"/>
      <c r="EY661" s="2561"/>
      <c r="EZ661" s="2561"/>
      <c r="FA661" s="2561"/>
    </row>
    <row r="662" spans="1:157" ht="12.5">
      <c r="A662" s="35"/>
      <c r="B662" s="12" t="s">
        <v>90</v>
      </c>
      <c r="G662" s="2041" t="s">
        <v>2615</v>
      </c>
      <c r="H662" s="2042"/>
      <c r="I662" s="2042"/>
      <c r="J662" s="2042"/>
      <c r="K662" s="2042"/>
      <c r="L662" s="2042"/>
      <c r="M662" s="2042"/>
      <c r="N662" s="2042"/>
      <c r="O662" s="2042"/>
      <c r="P662" s="2042"/>
      <c r="Q662" s="2042"/>
      <c r="R662" s="2042"/>
      <c r="T662" s="35"/>
      <c r="U662" s="12" t="s">
        <v>90</v>
      </c>
      <c r="Z662" s="2041" t="s">
        <v>2619</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1" t="e">
        <f t="shared" si="22"/>
        <v>#VALUE!</v>
      </c>
      <c r="DY662" s="2561"/>
      <c r="DZ662" s="2561"/>
      <c r="EA662" s="2561"/>
      <c r="EB662" s="2561"/>
      <c r="EC662" s="2561" t="e">
        <f t="shared" si="23"/>
        <v>#VALUE!</v>
      </c>
      <c r="ED662" s="2561"/>
      <c r="EE662" s="2561"/>
      <c r="EF662" s="2561"/>
      <c r="EG662" s="2561"/>
      <c r="EH662" s="2561" t="e">
        <f t="shared" si="24"/>
        <v>#VALUE!</v>
      </c>
      <c r="EI662" s="2561"/>
      <c r="EJ662" s="2561"/>
      <c r="EK662" s="2561"/>
      <c r="EL662" s="2561"/>
      <c r="EM662" s="2561" t="e">
        <f t="shared" si="25"/>
        <v>#VALUE!</v>
      </c>
      <c r="EN662" s="2561"/>
      <c r="EO662" s="2561"/>
      <c r="EP662" s="2561"/>
      <c r="EQ662" s="2561"/>
      <c r="ER662" s="2561" t="e">
        <f t="shared" si="26"/>
        <v>#VALUE!</v>
      </c>
      <c r="ES662" s="2561"/>
      <c r="ET662" s="2561"/>
      <c r="EU662" s="2561"/>
      <c r="EV662" s="2561"/>
      <c r="EW662" s="2561" t="e">
        <f t="shared" si="27"/>
        <v>#VALUE!</v>
      </c>
      <c r="EX662" s="2561"/>
      <c r="EY662" s="2561"/>
      <c r="EZ662" s="2561"/>
      <c r="FA662" s="2561"/>
    </row>
    <row r="663" spans="1:157" ht="13">
      <c r="A663" s="35"/>
      <c r="B663" s="12" t="s">
        <v>614</v>
      </c>
      <c r="G663" s="2134" t="s">
        <v>2566</v>
      </c>
      <c r="H663" s="2044"/>
      <c r="I663" s="2044"/>
      <c r="J663" s="2044"/>
      <c r="K663" s="2044"/>
      <c r="L663" s="2044"/>
      <c r="M663" s="2044"/>
      <c r="N663" s="2044"/>
      <c r="O663" s="2044"/>
      <c r="P663" s="2044"/>
      <c r="Q663" s="2044"/>
      <c r="R663" s="2044"/>
      <c r="T663" s="35"/>
      <c r="U663" s="12" t="s">
        <v>614</v>
      </c>
      <c r="Z663" s="2041" t="s">
        <v>2620</v>
      </c>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11">
        <f>BN635+BN644+BN658</f>
        <v>88</v>
      </c>
      <c r="BO663" s="2012"/>
      <c r="BP663" s="2012"/>
      <c r="BQ663" s="2012"/>
      <c r="BR663" s="2013"/>
      <c r="BS663" s="2011">
        <f>BS635+BS644+BS658</f>
        <v>0</v>
      </c>
      <c r="BT663" s="2012"/>
      <c r="BU663" s="2012"/>
      <c r="BV663" s="2012"/>
      <c r="BW663" s="2013"/>
      <c r="BX663" s="2011">
        <f>BX635+BX644+BX658</f>
        <v>1</v>
      </c>
      <c r="BY663" s="2012"/>
      <c r="BZ663" s="2012"/>
      <c r="CA663" s="2012"/>
      <c r="CB663" s="2013"/>
      <c r="CC663" s="2011">
        <f>CC635+CC644+CC658</f>
        <v>0</v>
      </c>
      <c r="CD663" s="2012"/>
      <c r="CE663" s="2012"/>
      <c r="CF663" s="2012"/>
      <c r="CG663" s="2013"/>
      <c r="CH663" s="2011">
        <f>CH635+CH644+CH658</f>
        <v>0</v>
      </c>
      <c r="CI663" s="2012"/>
      <c r="CJ663" s="2012"/>
      <c r="CK663" s="2012"/>
      <c r="CL663" s="2013"/>
      <c r="CM663" s="2021">
        <f>CM658+CM644+CM635</f>
        <v>0</v>
      </c>
      <c r="CN663" s="2183"/>
      <c r="CO663" s="2183"/>
      <c r="CP663" s="2183"/>
      <c r="CQ663" s="2022"/>
      <c r="CR663" s="177"/>
      <c r="CS663" s="1469">
        <f>CS637+CS661</f>
        <v>88</v>
      </c>
      <c r="CT663" s="134" t="s">
        <v>2389</v>
      </c>
      <c r="CU663" s="58"/>
      <c r="CV663" s="58"/>
      <c r="CW663" s="58"/>
      <c r="CX663" s="58"/>
      <c r="CY663" s="58"/>
      <c r="CZ663" s="58"/>
      <c r="DA663" s="58"/>
      <c r="DB663" s="58"/>
      <c r="DC663" s="58"/>
      <c r="DD663" s="58"/>
      <c r="DE663" s="58"/>
      <c r="DF663" s="58"/>
      <c r="DX663" s="2561">
        <f>SUMIF(DX638:EB662,"&gt;0")</f>
        <v>591</v>
      </c>
      <c r="DY663" s="2561"/>
      <c r="DZ663" s="2561"/>
      <c r="EA663" s="2561"/>
      <c r="EB663" s="2561"/>
      <c r="EC663" s="2561">
        <f>SUMIF(EC638:EG662,"&gt;0")</f>
        <v>0</v>
      </c>
      <c r="ED663" s="2561"/>
      <c r="EE663" s="2561"/>
      <c r="EF663" s="2561"/>
      <c r="EG663" s="2561"/>
      <c r="EH663" s="2561">
        <f>SUMIF(EH638:EL662,"&gt;0")</f>
        <v>0</v>
      </c>
      <c r="EI663" s="2561"/>
      <c r="EJ663" s="2561"/>
      <c r="EK663" s="2561"/>
      <c r="EL663" s="2561"/>
      <c r="EM663" s="2561">
        <f>SUMIF(EM638:EQ662,"&gt;0")</f>
        <v>0</v>
      </c>
      <c r="EN663" s="2561"/>
      <c r="EO663" s="2561"/>
      <c r="EP663" s="2561"/>
      <c r="EQ663" s="2561"/>
      <c r="ER663" s="2561">
        <f>SUMIF(ER638:EV662,"&gt;0")</f>
        <v>0</v>
      </c>
      <c r="ES663" s="2561"/>
      <c r="ET663" s="2561"/>
      <c r="EU663" s="2561"/>
      <c r="EV663" s="2561"/>
      <c r="EW663" s="2561">
        <f>SUMIF(EW638:FA662,"&gt;0")</f>
        <v>0</v>
      </c>
      <c r="EX663" s="2561"/>
      <c r="EY663" s="2561"/>
      <c r="EZ663" s="2561"/>
      <c r="FA663" s="2561"/>
    </row>
    <row r="664" spans="1:157" ht="12.5">
      <c r="A664" s="35"/>
      <c r="B664" s="12" t="s">
        <v>17</v>
      </c>
      <c r="G664" s="2134" t="s">
        <v>2616</v>
      </c>
      <c r="H664" s="2044"/>
      <c r="I664" s="2044"/>
      <c r="J664" s="2044"/>
      <c r="K664" s="2044"/>
      <c r="L664" s="2044"/>
      <c r="M664" s="2044"/>
      <c r="N664" s="2044"/>
      <c r="O664" s="2044"/>
      <c r="P664" s="2044"/>
      <c r="Q664" s="2044"/>
      <c r="R664" s="2044"/>
      <c r="T664" s="35"/>
      <c r="U664" s="12" t="s">
        <v>17</v>
      </c>
      <c r="Z664" s="2041" t="s">
        <v>2621</v>
      </c>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324</v>
      </c>
      <c r="G665" s="2065">
        <v>2138088596</v>
      </c>
      <c r="H665" s="2065"/>
      <c r="I665" s="2065"/>
      <c r="J665" s="2065"/>
      <c r="K665" s="2065"/>
      <c r="L665" s="2065"/>
      <c r="O665" s="137" t="s">
        <v>211</v>
      </c>
      <c r="P665" s="2032"/>
      <c r="Q665" s="2032"/>
      <c r="R665" s="2032"/>
      <c r="T665" s="35"/>
      <c r="U665" s="12" t="s">
        <v>324</v>
      </c>
      <c r="Z665" s="2065">
        <v>6265861809</v>
      </c>
      <c r="AA665" s="2065"/>
      <c r="AB665" s="2065"/>
      <c r="AC665" s="2065"/>
      <c r="AD665" s="2065"/>
      <c r="AE665" s="2065"/>
      <c r="AH665" s="137" t="s">
        <v>211</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1" t="s">
        <v>2617</v>
      </c>
      <c r="I666" s="2042"/>
      <c r="J666" s="2042"/>
      <c r="K666" s="2042"/>
      <c r="L666" s="2042"/>
      <c r="M666" s="2042"/>
      <c r="N666" s="2042"/>
      <c r="O666" s="2042"/>
      <c r="P666" s="2042"/>
      <c r="Q666" s="2042"/>
      <c r="R666" s="2042"/>
      <c r="T666" s="35"/>
      <c r="U666" s="12" t="s">
        <v>18</v>
      </c>
      <c r="AA666" s="2041" t="s">
        <v>2618</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40" t="s">
        <v>577</v>
      </c>
      <c r="O667" s="2040"/>
      <c r="T667" s="35"/>
      <c r="U667" s="12" t="s">
        <v>20</v>
      </c>
      <c r="AG667" s="2040" t="s">
        <v>577</v>
      </c>
      <c r="AH667" s="2040"/>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3" t="str">
        <f>C641</f>
        <v>General Partner (Developer Fee)</v>
      </c>
      <c r="H669" s="2043"/>
      <c r="I669" s="2043"/>
      <c r="J669" s="2043"/>
      <c r="K669" s="2043"/>
      <c r="L669" s="2043"/>
      <c r="M669" s="2043"/>
      <c r="N669" s="2043"/>
      <c r="O669" s="2043"/>
      <c r="P669" s="2043"/>
      <c r="Q669" s="2043"/>
      <c r="R669" s="2043"/>
      <c r="T669" s="87" t="s">
        <v>618</v>
      </c>
      <c r="U669" s="12" t="s">
        <v>495</v>
      </c>
      <c r="Z669" s="2043">
        <f>C642</f>
        <v>0</v>
      </c>
      <c r="AA669" s="2043"/>
      <c r="AB669" s="2043"/>
      <c r="AC669" s="2043"/>
      <c r="AD669" s="2043"/>
      <c r="AE669" s="2043"/>
      <c r="AF669" s="2043"/>
      <c r="AG669" s="2043"/>
      <c r="AH669" s="2043"/>
      <c r="AI669" s="2043"/>
      <c r="AJ669" s="2043"/>
      <c r="AK669" s="2043"/>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332</v>
      </c>
      <c r="BR669" s="539" t="s">
        <v>333</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1" t="s">
        <v>2531</v>
      </c>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5">
        <f t="shared" ref="BA670:BA694" si="40">IF($G728=0,"N/A",VLOOKUP($T$189,TC_Rent,(MATCH($B728,bedrooms,FALSE))))</f>
        <v>2070</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41" t="s">
        <v>2542</v>
      </c>
      <c r="H671" s="2042"/>
      <c r="I671" s="2042"/>
      <c r="J671" s="2042"/>
      <c r="K671" s="2042"/>
      <c r="L671" s="2042"/>
      <c r="M671" s="2042"/>
      <c r="N671" s="2042"/>
      <c r="O671" s="2042"/>
      <c r="P671" s="2042"/>
      <c r="Q671" s="2042"/>
      <c r="R671" s="2042"/>
      <c r="T671" s="35"/>
      <c r="U671" s="12" t="s">
        <v>614</v>
      </c>
      <c r="Z671" s="2044"/>
      <c r="AA671" s="2044"/>
      <c r="AB671" s="2044"/>
      <c r="AC671" s="2044"/>
      <c r="AD671" s="2044"/>
      <c r="AE671" s="2044"/>
      <c r="AF671" s="2044"/>
      <c r="AG671" s="2044"/>
      <c r="AH671" s="2044"/>
      <c r="AI671" s="2044"/>
      <c r="AJ671" s="2044"/>
      <c r="AK671" s="2044"/>
      <c r="AZ671" s="58"/>
      <c r="BA671" s="445" t="str">
        <f t="shared" si="40"/>
        <v>N/A</v>
      </c>
      <c r="BB671" s="58"/>
      <c r="BC671" s="58"/>
      <c r="BD671" s="58"/>
      <c r="BE671" s="58"/>
      <c r="BF671" s="382"/>
      <c r="BG671" s="455">
        <f t="shared" ref="BG671:BG695" si="41">G728</f>
        <v>88</v>
      </c>
      <c r="BH671" s="459">
        <f>BG671/$BG$696</f>
        <v>1</v>
      </c>
      <c r="BI671" s="460">
        <f t="shared" ref="BI671:BI695" si="42">IF(BH671=0," ",BH671*AH728)</f>
        <v>0.3</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1" t="s">
        <v>2519</v>
      </c>
      <c r="H672" s="2042"/>
      <c r="I672" s="2042"/>
      <c r="J672" s="2042"/>
      <c r="K672" s="2042"/>
      <c r="L672" s="2042"/>
      <c r="M672" s="2042"/>
      <c r="N672" s="2042"/>
      <c r="O672" s="2042"/>
      <c r="P672" s="2042"/>
      <c r="Q672" s="2042"/>
      <c r="R672" s="2042"/>
      <c r="T672" s="35"/>
      <c r="U672" s="12" t="s">
        <v>17</v>
      </c>
      <c r="Z672" s="2044"/>
      <c r="AA672" s="2044"/>
      <c r="AB672" s="2044"/>
      <c r="AC672" s="2044"/>
      <c r="AD672" s="2044"/>
      <c r="AE672" s="2044"/>
      <c r="AF672" s="2044"/>
      <c r="AG672" s="2044"/>
      <c r="AH672" s="2044"/>
      <c r="AI672" s="2044"/>
      <c r="AJ672" s="2044"/>
      <c r="AK672" s="2044"/>
      <c r="AZ672" s="58"/>
      <c r="BA672" s="445" t="str">
        <f t="shared" si="40"/>
        <v>N/A</v>
      </c>
      <c r="BB672" s="58"/>
      <c r="BC672" s="58"/>
      <c r="BD672" s="58"/>
      <c r="BE672" s="58"/>
      <c r="BF672" s="382"/>
      <c r="BG672" s="456">
        <f t="shared" si="41"/>
        <v>0</v>
      </c>
      <c r="BH672" s="459">
        <f t="shared" ref="BH672:BH695" si="43">BG672/$BG$696</f>
        <v>0</v>
      </c>
      <c r="BI672" s="460" t="str">
        <f t="shared" si="42"/>
        <v xml:space="preserve"> </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86" t="s">
        <v>2533</v>
      </c>
      <c r="H673" s="2065"/>
      <c r="I673" s="2065"/>
      <c r="J673" s="2065"/>
      <c r="K673" s="2065"/>
      <c r="L673" s="2065"/>
      <c r="O673" s="137" t="s">
        <v>211</v>
      </c>
      <c r="P673" s="2032"/>
      <c r="Q673" s="2032"/>
      <c r="R673" s="2032"/>
      <c r="T673" s="35"/>
      <c r="U673" s="12" t="s">
        <v>324</v>
      </c>
      <c r="Z673" s="2065"/>
      <c r="AA673" s="2065"/>
      <c r="AB673" s="2065"/>
      <c r="AC673" s="2065"/>
      <c r="AD673" s="2065"/>
      <c r="AE673" s="2065"/>
      <c r="AH673" s="137" t="s">
        <v>211</v>
      </c>
      <c r="AI673" s="2032"/>
      <c r="AJ673" s="2032"/>
      <c r="AK673" s="2032"/>
      <c r="AZ673" s="58"/>
      <c r="BA673" s="445" t="str">
        <f t="shared" si="40"/>
        <v>N/A</v>
      </c>
      <c r="BB673" s="58"/>
      <c r="BC673" s="58"/>
      <c r="BD673" s="58"/>
      <c r="BE673" s="58"/>
      <c r="BF673" s="382"/>
      <c r="BG673" s="456">
        <f t="shared" si="41"/>
        <v>0</v>
      </c>
      <c r="BH673" s="459">
        <f t="shared" si="43"/>
        <v>0</v>
      </c>
      <c r="BI673" s="460" t="str">
        <f t="shared" si="42"/>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1" t="s">
        <v>2623</v>
      </c>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0" t="s">
        <v>577</v>
      </c>
      <c r="O675" s="2040"/>
      <c r="T675" s="35"/>
      <c r="U675" s="12" t="s">
        <v>20</v>
      </c>
      <c r="AG675" s="2040" t="s">
        <v>705</v>
      </c>
      <c r="AH675" s="2040"/>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43">
        <f>C643</f>
        <v>0</v>
      </c>
      <c r="H677" s="2043"/>
      <c r="I677" s="2043"/>
      <c r="J677" s="2043"/>
      <c r="K677" s="2043"/>
      <c r="L677" s="2043"/>
      <c r="M677" s="2043"/>
      <c r="N677" s="2043"/>
      <c r="O677" s="2043"/>
      <c r="P677" s="2043"/>
      <c r="Q677" s="2043"/>
      <c r="R677" s="2043"/>
      <c r="T677" s="87" t="s">
        <v>487</v>
      </c>
      <c r="U677" s="12" t="s">
        <v>495</v>
      </c>
      <c r="Z677" s="2043">
        <f>C644</f>
        <v>0</v>
      </c>
      <c r="AA677" s="2043"/>
      <c r="AB677" s="2043"/>
      <c r="AC677" s="2043"/>
      <c r="AD677" s="2043"/>
      <c r="AE677" s="2043"/>
      <c r="AF677" s="2043"/>
      <c r="AG677" s="2043"/>
      <c r="AH677" s="2043"/>
      <c r="AI677" s="2043"/>
      <c r="AJ677" s="2043"/>
      <c r="AK677" s="2043"/>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42"/>
      <c r="H679" s="2042"/>
      <c r="I679" s="2042"/>
      <c r="J679" s="2042"/>
      <c r="K679" s="2042"/>
      <c r="L679" s="2042"/>
      <c r="M679" s="2042"/>
      <c r="N679" s="2042"/>
      <c r="O679" s="2042"/>
      <c r="P679" s="2042"/>
      <c r="Q679" s="2042"/>
      <c r="R679" s="2042"/>
      <c r="T679" s="35"/>
      <c r="U679" s="12" t="s">
        <v>614</v>
      </c>
      <c r="Z679" s="2044"/>
      <c r="AA679" s="2044"/>
      <c r="AB679" s="2044"/>
      <c r="AC679" s="2044"/>
      <c r="AD679" s="2044"/>
      <c r="AE679" s="2044"/>
      <c r="AF679" s="2044"/>
      <c r="AG679" s="2044"/>
      <c r="AH679" s="2044"/>
      <c r="AI679" s="2044"/>
      <c r="AJ679" s="2044"/>
      <c r="AK679" s="2044"/>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2"/>
      <c r="H680" s="2042"/>
      <c r="I680" s="2042"/>
      <c r="J680" s="2042"/>
      <c r="K680" s="2042"/>
      <c r="L680" s="2042"/>
      <c r="M680" s="2042"/>
      <c r="N680" s="2042"/>
      <c r="O680" s="2042"/>
      <c r="P680" s="2042"/>
      <c r="Q680" s="2042"/>
      <c r="R680" s="2042"/>
      <c r="T680" s="35"/>
      <c r="U680" s="12" t="s">
        <v>17</v>
      </c>
      <c r="Z680" s="2044"/>
      <c r="AA680" s="2044"/>
      <c r="AB680" s="2044"/>
      <c r="AC680" s="2044"/>
      <c r="AD680" s="2044"/>
      <c r="AE680" s="2044"/>
      <c r="AF680" s="2044"/>
      <c r="AG680" s="2044"/>
      <c r="AH680" s="2044"/>
      <c r="AI680" s="2044"/>
      <c r="AJ680" s="2044"/>
      <c r="AK680" s="2044"/>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65"/>
      <c r="H681" s="2065"/>
      <c r="I681" s="2065"/>
      <c r="J681" s="2065"/>
      <c r="K681" s="2065"/>
      <c r="L681" s="2065"/>
      <c r="O681" s="137" t="s">
        <v>211</v>
      </c>
      <c r="P681" s="2032"/>
      <c r="Q681" s="2032"/>
      <c r="R681" s="2032"/>
      <c r="T681" s="35"/>
      <c r="U681" s="12" t="s">
        <v>324</v>
      </c>
      <c r="Z681" s="2065"/>
      <c r="AA681" s="2065"/>
      <c r="AB681" s="2065"/>
      <c r="AC681" s="2065"/>
      <c r="AD681" s="2065"/>
      <c r="AE681" s="2065"/>
      <c r="AH681" s="137" t="s">
        <v>211</v>
      </c>
      <c r="AI681" s="2032"/>
      <c r="AJ681" s="2032"/>
      <c r="AK681" s="2032"/>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0" t="s">
        <v>705</v>
      </c>
      <c r="O683" s="2040"/>
      <c r="T683" s="35"/>
      <c r="U683" s="12" t="s">
        <v>20</v>
      </c>
      <c r="AG683" s="2040" t="s">
        <v>705</v>
      </c>
      <c r="AH683" s="2040"/>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43">
        <f>C645</f>
        <v>0</v>
      </c>
      <c r="H685" s="2043"/>
      <c r="I685" s="2043"/>
      <c r="J685" s="2043"/>
      <c r="K685" s="2043"/>
      <c r="L685" s="2043"/>
      <c r="M685" s="2043"/>
      <c r="N685" s="2043"/>
      <c r="O685" s="2043"/>
      <c r="P685" s="2043"/>
      <c r="Q685" s="2043"/>
      <c r="R685" s="2043"/>
      <c r="T685" s="87" t="s">
        <v>680</v>
      </c>
      <c r="U685" s="12" t="s">
        <v>495</v>
      </c>
      <c r="Z685" s="2043">
        <f>C646</f>
        <v>0</v>
      </c>
      <c r="AA685" s="2043"/>
      <c r="AB685" s="2043"/>
      <c r="AC685" s="2043"/>
      <c r="AD685" s="2043"/>
      <c r="AE685" s="2043"/>
      <c r="AF685" s="2043"/>
      <c r="AG685" s="2043"/>
      <c r="AH685" s="2043"/>
      <c r="AI685" s="2043"/>
      <c r="AJ685" s="2043"/>
      <c r="AK685" s="2043"/>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42"/>
      <c r="H687" s="2042"/>
      <c r="I687" s="2042"/>
      <c r="J687" s="2042"/>
      <c r="K687" s="2042"/>
      <c r="L687" s="2042"/>
      <c r="M687" s="2042"/>
      <c r="N687" s="2042"/>
      <c r="O687" s="2042"/>
      <c r="P687" s="2042"/>
      <c r="Q687" s="2042"/>
      <c r="R687" s="2042"/>
      <c r="T687" s="35"/>
      <c r="U687" s="12" t="s">
        <v>614</v>
      </c>
      <c r="Z687" s="2044"/>
      <c r="AA687" s="2044"/>
      <c r="AB687" s="2044"/>
      <c r="AC687" s="2044"/>
      <c r="AD687" s="2044"/>
      <c r="AE687" s="2044"/>
      <c r="AF687" s="2044"/>
      <c r="AG687" s="2044"/>
      <c r="AH687" s="2044"/>
      <c r="AI687" s="2044"/>
      <c r="AJ687" s="2044"/>
      <c r="AK687" s="2044"/>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2"/>
      <c r="H688" s="2042"/>
      <c r="I688" s="2042"/>
      <c r="J688" s="2042"/>
      <c r="K688" s="2042"/>
      <c r="L688" s="2042"/>
      <c r="M688" s="2042"/>
      <c r="N688" s="2042"/>
      <c r="O688" s="2042"/>
      <c r="P688" s="2042"/>
      <c r="Q688" s="2042"/>
      <c r="R688" s="2042"/>
      <c r="T688" s="35"/>
      <c r="U688" s="12" t="s">
        <v>17</v>
      </c>
      <c r="Z688" s="2044"/>
      <c r="AA688" s="2044"/>
      <c r="AB688" s="2044"/>
      <c r="AC688" s="2044"/>
      <c r="AD688" s="2044"/>
      <c r="AE688" s="2044"/>
      <c r="AF688" s="2044"/>
      <c r="AG688" s="2044"/>
      <c r="AH688" s="2044"/>
      <c r="AI688" s="2044"/>
      <c r="AJ688" s="2044"/>
      <c r="AK688" s="2044"/>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65"/>
      <c r="H689" s="2065"/>
      <c r="I689" s="2065"/>
      <c r="J689" s="2065"/>
      <c r="K689" s="2065"/>
      <c r="L689" s="2065"/>
      <c r="O689" s="137" t="s">
        <v>211</v>
      </c>
      <c r="P689" s="2032"/>
      <c r="Q689" s="2032"/>
      <c r="R689" s="2032"/>
      <c r="T689" s="35"/>
      <c r="U689" s="12" t="s">
        <v>324</v>
      </c>
      <c r="Z689" s="2065"/>
      <c r="AA689" s="2065"/>
      <c r="AB689" s="2065"/>
      <c r="AC689" s="2065"/>
      <c r="AD689" s="2065"/>
      <c r="AE689" s="2065"/>
      <c r="AH689" s="137" t="s">
        <v>211</v>
      </c>
      <c r="AI689" s="2032"/>
      <c r="AJ689" s="2032"/>
      <c r="AK689" s="2032"/>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0" t="s">
        <v>705</v>
      </c>
      <c r="O691" s="2040"/>
      <c r="T691" s="35"/>
      <c r="U691" s="12" t="s">
        <v>20</v>
      </c>
      <c r="AG691" s="2040" t="s">
        <v>705</v>
      </c>
      <c r="AH691" s="2040"/>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43">
        <f>C647</f>
        <v>0</v>
      </c>
      <c r="H693" s="2043"/>
      <c r="I693" s="2043"/>
      <c r="J693" s="2043"/>
      <c r="K693" s="2043"/>
      <c r="L693" s="2043"/>
      <c r="M693" s="2043"/>
      <c r="N693" s="2043"/>
      <c r="O693" s="2043"/>
      <c r="P693" s="2043"/>
      <c r="Q693" s="2043"/>
      <c r="R693" s="2043"/>
      <c r="T693" s="87" t="s">
        <v>372</v>
      </c>
      <c r="U693" s="12" t="s">
        <v>495</v>
      </c>
      <c r="Z693" s="2043">
        <f>C648</f>
        <v>0</v>
      </c>
      <c r="AA693" s="2043"/>
      <c r="AB693" s="2043"/>
      <c r="AC693" s="2043"/>
      <c r="AD693" s="2043"/>
      <c r="AE693" s="2043"/>
      <c r="AF693" s="2043"/>
      <c r="AG693" s="2043"/>
      <c r="AH693" s="2043"/>
      <c r="AI693" s="2043"/>
      <c r="AJ693" s="2043"/>
      <c r="AK693" s="2043"/>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42"/>
      <c r="H695" s="2042"/>
      <c r="I695" s="2042"/>
      <c r="J695" s="2042"/>
      <c r="K695" s="2042"/>
      <c r="L695" s="2042"/>
      <c r="M695" s="2042"/>
      <c r="N695" s="2042"/>
      <c r="O695" s="2042"/>
      <c r="P695" s="2042"/>
      <c r="Q695" s="2042"/>
      <c r="R695" s="2042"/>
      <c r="U695" s="12" t="s">
        <v>614</v>
      </c>
      <c r="Z695" s="2044"/>
      <c r="AA695" s="2044"/>
      <c r="AB695" s="2044"/>
      <c r="AC695" s="2044"/>
      <c r="AD695" s="2044"/>
      <c r="AE695" s="2044"/>
      <c r="AF695" s="2044"/>
      <c r="AG695" s="2044"/>
      <c r="AH695" s="2044"/>
      <c r="AI695" s="2044"/>
      <c r="AJ695" s="2044"/>
      <c r="AK695" s="2044"/>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2"/>
      <c r="H696" s="2042"/>
      <c r="I696" s="2042"/>
      <c r="J696" s="2042"/>
      <c r="K696" s="2042"/>
      <c r="L696" s="2042"/>
      <c r="M696" s="2042"/>
      <c r="N696" s="2042"/>
      <c r="O696" s="2042"/>
      <c r="P696" s="2042"/>
      <c r="Q696" s="2042"/>
      <c r="R696" s="2042"/>
      <c r="U696" s="12" t="s">
        <v>17</v>
      </c>
      <c r="Z696" s="2044"/>
      <c r="AA696" s="2044"/>
      <c r="AB696" s="2044"/>
      <c r="AC696" s="2044"/>
      <c r="AD696" s="2044"/>
      <c r="AE696" s="2044"/>
      <c r="AF696" s="2044"/>
      <c r="AG696" s="2044"/>
      <c r="AH696" s="2044"/>
      <c r="AI696" s="2044"/>
      <c r="AJ696" s="2044"/>
      <c r="AK696" s="2044"/>
      <c r="AZ696" s="58"/>
      <c r="BA696" s="58"/>
      <c r="BB696" s="58"/>
      <c r="BC696" s="58"/>
      <c r="BD696" s="58"/>
      <c r="BF696" s="452" t="s">
        <v>967</v>
      </c>
      <c r="BG696" s="461">
        <f>SUM(BG671:BG695)</f>
        <v>88</v>
      </c>
      <c r="BH696" s="462">
        <f>SUM(BH671:BH695)</f>
        <v>1</v>
      </c>
      <c r="BI696" s="462">
        <f>SUM(BI671:BI695)</f>
        <v>0.3</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65"/>
      <c r="H697" s="2065"/>
      <c r="I697" s="2065"/>
      <c r="J697" s="2065"/>
      <c r="K697" s="2065"/>
      <c r="L697" s="2065"/>
      <c r="O697" s="137" t="s">
        <v>211</v>
      </c>
      <c r="P697" s="2032"/>
      <c r="Q697" s="2032"/>
      <c r="R697" s="2032"/>
      <c r="U697" s="12" t="s">
        <v>324</v>
      </c>
      <c r="Z697" s="2065"/>
      <c r="AA697" s="2065"/>
      <c r="AB697" s="2065"/>
      <c r="AC697" s="2065"/>
      <c r="AD697" s="2065"/>
      <c r="AE697" s="2065"/>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0" t="s">
        <v>705</v>
      </c>
      <c r="O699" s="2040"/>
      <c r="U699" s="12" t="s">
        <v>20</v>
      </c>
      <c r="AG699" s="2040" t="s">
        <v>705</v>
      </c>
      <c r="AH699" s="2040"/>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1932</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577</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88</v>
      </c>
      <c r="BH703" s="459">
        <f>BG703/$BG$728</f>
        <v>1</v>
      </c>
      <c r="BI703" s="460">
        <f t="shared" ref="BI703:BI727" si="45">IF(BH703=0," ",BH703*AM728)</f>
        <v>0.3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705</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0</v>
      </c>
      <c r="BH704" s="459">
        <f t="shared" ref="BH704:BH727" si="46">BG704/$BG$728</f>
        <v>0</v>
      </c>
      <c r="BI704" s="460" t="str">
        <f t="shared" si="45"/>
        <v xml:space="preserve"> </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5">
        <v>44341</v>
      </c>
      <c r="AF705" s="2225"/>
      <c r="AG705" s="2225"/>
      <c r="AH705" s="2225"/>
      <c r="AI705" s="22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0</v>
      </c>
      <c r="BH705" s="459">
        <f t="shared" si="46"/>
        <v>0</v>
      </c>
      <c r="BI705" s="460" t="str">
        <f t="shared" si="45"/>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4">
        <v>44419</v>
      </c>
      <c r="AF706" s="2404"/>
      <c r="AG706" s="2404"/>
      <c r="AH706" s="2404"/>
      <c r="AI706" s="240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5">
        <v>44587</v>
      </c>
      <c r="AF708" s="2225"/>
      <c r="AG708" s="2225"/>
      <c r="AH708" s="2225"/>
      <c r="AI708" s="22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8">
        <v>0.54310000000000003</v>
      </c>
      <c r="AF709" s="2368"/>
      <c r="AG709" s="2368"/>
      <c r="AH709" s="2368"/>
      <c r="AI709" s="23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3" t="str">
        <f>H334</f>
        <v>City of Los Angeles</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196</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705</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197</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198</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199</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5"/>
      <c r="K715" s="2065"/>
      <c r="L715" s="2065"/>
      <c r="M715" s="2065"/>
      <c r="N715" s="2065"/>
      <c r="O715" s="2065"/>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200</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42" t="s">
        <v>315</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201</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2" t="s">
        <v>342</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202</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178</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203</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204</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205</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206</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207</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406</v>
      </c>
      <c r="C724" s="2116"/>
      <c r="D724" s="2116"/>
      <c r="E724" s="2116"/>
      <c r="F724" s="2117"/>
      <c r="G724" s="2115" t="s">
        <v>290</v>
      </c>
      <c r="H724" s="2116"/>
      <c r="I724" s="2116"/>
      <c r="J724" s="2117"/>
      <c r="K724" s="2293" t="s">
        <v>2154</v>
      </c>
      <c r="L724" s="2294"/>
      <c r="M724" s="2294"/>
      <c r="N724" s="2295"/>
      <c r="O724" s="2115" t="s">
        <v>477</v>
      </c>
      <c r="P724" s="2116"/>
      <c r="Q724" s="2116"/>
      <c r="R724" s="2116"/>
      <c r="S724" s="2117"/>
      <c r="T724" s="2115" t="s">
        <v>291</v>
      </c>
      <c r="U724" s="2116"/>
      <c r="V724" s="2116"/>
      <c r="W724" s="2116"/>
      <c r="X724" s="2117"/>
      <c r="Y724" s="2115" t="s">
        <v>292</v>
      </c>
      <c r="Z724" s="2116"/>
      <c r="AA724" s="2116"/>
      <c r="AB724" s="2117"/>
      <c r="AC724" s="2115" t="s">
        <v>293</v>
      </c>
      <c r="AD724" s="2116"/>
      <c r="AE724" s="2116"/>
      <c r="AF724" s="2116"/>
      <c r="AG724" s="2117"/>
      <c r="AH724" s="2115" t="s">
        <v>407</v>
      </c>
      <c r="AI724" s="2116"/>
      <c r="AJ724" s="2116"/>
      <c r="AK724" s="2116"/>
      <c r="AL724" s="2117"/>
      <c r="AM724" s="2115" t="s">
        <v>681</v>
      </c>
      <c r="AN724" s="2116"/>
      <c r="AO724" s="2117"/>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8"/>
      <c r="C725" s="2119"/>
      <c r="D725" s="2119"/>
      <c r="E725" s="2119"/>
      <c r="F725" s="2120"/>
      <c r="G725" s="2118"/>
      <c r="H725" s="2119"/>
      <c r="I725" s="2119"/>
      <c r="J725" s="2120"/>
      <c r="K725" s="2296"/>
      <c r="L725" s="2297"/>
      <c r="M725" s="2297"/>
      <c r="N725" s="2298"/>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208</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8"/>
      <c r="C726" s="2119"/>
      <c r="D726" s="2119"/>
      <c r="E726" s="2119"/>
      <c r="F726" s="2120"/>
      <c r="G726" s="2118"/>
      <c r="H726" s="2119"/>
      <c r="I726" s="2119"/>
      <c r="J726" s="2120"/>
      <c r="K726" s="2296"/>
      <c r="L726" s="2297"/>
      <c r="M726" s="2297"/>
      <c r="N726" s="2298"/>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209</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1"/>
      <c r="C727" s="2122"/>
      <c r="D727" s="2122"/>
      <c r="E727" s="2122"/>
      <c r="F727" s="2123"/>
      <c r="G727" s="2121"/>
      <c r="H727" s="2122"/>
      <c r="I727" s="2122"/>
      <c r="J727" s="2123"/>
      <c r="K727" s="2296"/>
      <c r="L727" s="2297"/>
      <c r="M727" s="2297"/>
      <c r="N727" s="2298"/>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210</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7" t="s">
        <v>332</v>
      </c>
      <c r="C728" s="2048"/>
      <c r="D728" s="2048"/>
      <c r="E728" s="2048"/>
      <c r="F728" s="2049"/>
      <c r="G728" s="2274">
        <v>88</v>
      </c>
      <c r="H728" s="2275"/>
      <c r="I728" s="2275"/>
      <c r="J728" s="2276"/>
      <c r="K728" s="2077">
        <v>305</v>
      </c>
      <c r="L728" s="2078"/>
      <c r="M728" s="2078"/>
      <c r="N728" s="2079"/>
      <c r="O728" s="2068">
        <v>591</v>
      </c>
      <c r="P728" s="2069"/>
      <c r="Q728" s="2069"/>
      <c r="R728" s="2069"/>
      <c r="S728" s="2070"/>
      <c r="T728" s="2146">
        <f t="shared" ref="T728:T752" si="47">G728*O728</f>
        <v>52008</v>
      </c>
      <c r="U728" s="2147"/>
      <c r="V728" s="2147"/>
      <c r="W728" s="2147"/>
      <c r="X728" s="2148"/>
      <c r="Y728" s="2068">
        <v>30</v>
      </c>
      <c r="Z728" s="2069"/>
      <c r="AA728" s="2069"/>
      <c r="AB728" s="2070"/>
      <c r="AC728" s="2146">
        <f t="shared" ref="AC728:AC752" si="48">O728+Y728</f>
        <v>621</v>
      </c>
      <c r="AD728" s="2147"/>
      <c r="AE728" s="2147"/>
      <c r="AF728" s="2147"/>
      <c r="AG728" s="2148"/>
      <c r="AH728" s="2302">
        <v>0.3</v>
      </c>
      <c r="AI728" s="2303"/>
      <c r="AJ728" s="2303"/>
      <c r="AK728" s="2303"/>
      <c r="AL728" s="2304"/>
      <c r="AM728" s="2253">
        <f t="shared" ref="AM728:AM752" si="49">IF($AH728&gt;0,($AC728/$BA670), " ")</f>
        <v>0.3</v>
      </c>
      <c r="AN728" s="2254"/>
      <c r="AO728" s="2255"/>
      <c r="AP728" s="239"/>
      <c r="AQ728" s="239"/>
      <c r="AR728" s="239"/>
      <c r="AS728" s="239"/>
      <c r="AT728" s="239"/>
      <c r="AU728" s="239"/>
      <c r="AV728" s="239"/>
      <c r="AW728" s="239"/>
      <c r="AX728" s="239"/>
      <c r="AY728" s="239"/>
      <c r="AZ728" s="58"/>
      <c r="BA728" s="58"/>
      <c r="BB728" s="58"/>
      <c r="BC728" s="58"/>
      <c r="BD728" s="58"/>
      <c r="BE728" s="58"/>
      <c r="BF728" s="58"/>
      <c r="BG728" s="1419">
        <f>SUM(BG703:BG727)</f>
        <v>88</v>
      </c>
      <c r="BH728" s="462">
        <f>SUM(BH703:BH727)</f>
        <v>1</v>
      </c>
      <c r="BI728" s="462">
        <f>SUM(BI703:BI727)</f>
        <v>0.3</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7"/>
      <c r="C729" s="2048"/>
      <c r="D729" s="2048"/>
      <c r="E729" s="2048"/>
      <c r="F729" s="2049"/>
      <c r="G729" s="2274"/>
      <c r="H729" s="2275"/>
      <c r="I729" s="2275"/>
      <c r="J729" s="2276"/>
      <c r="K729" s="2077"/>
      <c r="L729" s="2078"/>
      <c r="M729" s="2078"/>
      <c r="N729" s="2079"/>
      <c r="O729" s="2068"/>
      <c r="P729" s="2069"/>
      <c r="Q729" s="2069"/>
      <c r="R729" s="2069"/>
      <c r="S729" s="2070"/>
      <c r="T729" s="2146">
        <f t="shared" si="47"/>
        <v>0</v>
      </c>
      <c r="U729" s="2147"/>
      <c r="V729" s="2147"/>
      <c r="W729" s="2147"/>
      <c r="X729" s="2148"/>
      <c r="Y729" s="2068"/>
      <c r="Z729" s="2069"/>
      <c r="AA729" s="2069"/>
      <c r="AB729" s="2070"/>
      <c r="AC729" s="2146">
        <f t="shared" si="48"/>
        <v>0</v>
      </c>
      <c r="AD729" s="2147"/>
      <c r="AE729" s="2147"/>
      <c r="AF729" s="2147"/>
      <c r="AG729" s="2148"/>
      <c r="AH729" s="2302"/>
      <c r="AI729" s="2303"/>
      <c r="AJ729" s="2303"/>
      <c r="AK729" s="2303"/>
      <c r="AL729" s="2304"/>
      <c r="AM729" s="2253" t="str">
        <f t="shared" si="49"/>
        <v xml:space="preserve"> </v>
      </c>
      <c r="AN729" s="2254"/>
      <c r="AO729" s="225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7"/>
      <c r="C730" s="2048"/>
      <c r="D730" s="2048"/>
      <c r="E730" s="2048"/>
      <c r="F730" s="2049"/>
      <c r="G730" s="2274"/>
      <c r="H730" s="2275"/>
      <c r="I730" s="2275"/>
      <c r="J730" s="2276"/>
      <c r="K730" s="2077"/>
      <c r="L730" s="2078"/>
      <c r="M730" s="2078"/>
      <c r="N730" s="2079"/>
      <c r="O730" s="2068"/>
      <c r="P730" s="2069"/>
      <c r="Q730" s="2069"/>
      <c r="R730" s="2069"/>
      <c r="S730" s="2070"/>
      <c r="T730" s="2146">
        <f t="shared" si="47"/>
        <v>0</v>
      </c>
      <c r="U730" s="2147"/>
      <c r="V730" s="2147"/>
      <c r="W730" s="2147"/>
      <c r="X730" s="2148"/>
      <c r="Y730" s="2068"/>
      <c r="Z730" s="2069"/>
      <c r="AA730" s="2069"/>
      <c r="AB730" s="2070"/>
      <c r="AC730" s="2146">
        <f t="shared" si="48"/>
        <v>0</v>
      </c>
      <c r="AD730" s="2147"/>
      <c r="AE730" s="2147"/>
      <c r="AF730" s="2147"/>
      <c r="AG730" s="2148"/>
      <c r="AH730" s="2302"/>
      <c r="AI730" s="2303"/>
      <c r="AJ730" s="2303"/>
      <c r="AK730" s="2303"/>
      <c r="AL730" s="2304"/>
      <c r="AM730" s="2253" t="str">
        <f t="shared" si="49"/>
        <v xml:space="preserve"> </v>
      </c>
      <c r="AN730" s="2254"/>
      <c r="AO730" s="225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7"/>
      <c r="C731" s="2048"/>
      <c r="D731" s="2048"/>
      <c r="E731" s="2048"/>
      <c r="F731" s="2049"/>
      <c r="G731" s="2274"/>
      <c r="H731" s="2275"/>
      <c r="I731" s="2275"/>
      <c r="J731" s="2276"/>
      <c r="K731" s="2077"/>
      <c r="L731" s="2078"/>
      <c r="M731" s="2078"/>
      <c r="N731" s="2079"/>
      <c r="O731" s="2068"/>
      <c r="P731" s="2069"/>
      <c r="Q731" s="2069"/>
      <c r="R731" s="2069"/>
      <c r="S731" s="2070"/>
      <c r="T731" s="2146">
        <f t="shared" si="47"/>
        <v>0</v>
      </c>
      <c r="U731" s="2147"/>
      <c r="V731" s="2147"/>
      <c r="W731" s="2147"/>
      <c r="X731" s="2148"/>
      <c r="Y731" s="2068"/>
      <c r="Z731" s="2069"/>
      <c r="AA731" s="2069"/>
      <c r="AB731" s="2070"/>
      <c r="AC731" s="2146">
        <f t="shared" si="48"/>
        <v>0</v>
      </c>
      <c r="AD731" s="2147"/>
      <c r="AE731" s="2147"/>
      <c r="AF731" s="2147"/>
      <c r="AG731" s="2148"/>
      <c r="AH731" s="2302"/>
      <c r="AI731" s="2303"/>
      <c r="AJ731" s="2303"/>
      <c r="AK731" s="2303"/>
      <c r="AL731" s="2304"/>
      <c r="AM731" s="2253" t="str">
        <f t="shared" si="49"/>
        <v xml:space="preserve"> </v>
      </c>
      <c r="AN731" s="2254"/>
      <c r="AO731" s="225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7"/>
      <c r="C732" s="2048"/>
      <c r="D732" s="2048"/>
      <c r="E732" s="2048"/>
      <c r="F732" s="2049"/>
      <c r="G732" s="2274"/>
      <c r="H732" s="2275"/>
      <c r="I732" s="2275"/>
      <c r="J732" s="2276"/>
      <c r="K732" s="2077"/>
      <c r="L732" s="2078"/>
      <c r="M732" s="2078"/>
      <c r="N732" s="2079"/>
      <c r="O732" s="2068"/>
      <c r="P732" s="2069"/>
      <c r="Q732" s="2069"/>
      <c r="R732" s="2069"/>
      <c r="S732" s="2070"/>
      <c r="T732" s="2146">
        <f t="shared" si="47"/>
        <v>0</v>
      </c>
      <c r="U732" s="2147"/>
      <c r="V732" s="2147"/>
      <c r="W732" s="2147"/>
      <c r="X732" s="2148"/>
      <c r="Y732" s="2068"/>
      <c r="Z732" s="2069"/>
      <c r="AA732" s="2069"/>
      <c r="AB732" s="2070"/>
      <c r="AC732" s="2146">
        <f t="shared" si="48"/>
        <v>0</v>
      </c>
      <c r="AD732" s="2147"/>
      <c r="AE732" s="2147"/>
      <c r="AF732" s="2147"/>
      <c r="AG732" s="2148"/>
      <c r="AH732" s="2302"/>
      <c r="AI732" s="2303"/>
      <c r="AJ732" s="2303"/>
      <c r="AK732" s="2303"/>
      <c r="AL732" s="2304"/>
      <c r="AM732" s="2253" t="str">
        <f t="shared" si="49"/>
        <v xml:space="preserve"> </v>
      </c>
      <c r="AN732" s="2254"/>
      <c r="AO732" s="225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7"/>
      <c r="C733" s="2048"/>
      <c r="D733" s="2048"/>
      <c r="E733" s="2048"/>
      <c r="F733" s="2049"/>
      <c r="G733" s="2274"/>
      <c r="H733" s="2275"/>
      <c r="I733" s="2275"/>
      <c r="J733" s="2276"/>
      <c r="K733" s="2077"/>
      <c r="L733" s="2078"/>
      <c r="M733" s="2078"/>
      <c r="N733" s="2079"/>
      <c r="O733" s="2068"/>
      <c r="P733" s="2069"/>
      <c r="Q733" s="2069"/>
      <c r="R733" s="2069"/>
      <c r="S733" s="2070"/>
      <c r="T733" s="2146">
        <f t="shared" si="47"/>
        <v>0</v>
      </c>
      <c r="U733" s="2147"/>
      <c r="V733" s="2147"/>
      <c r="W733" s="2147"/>
      <c r="X733" s="2148"/>
      <c r="Y733" s="2068"/>
      <c r="Z733" s="2069"/>
      <c r="AA733" s="2069"/>
      <c r="AB733" s="2070"/>
      <c r="AC733" s="2146">
        <f t="shared" si="48"/>
        <v>0</v>
      </c>
      <c r="AD733" s="2147"/>
      <c r="AE733" s="2147"/>
      <c r="AF733" s="2147"/>
      <c r="AG733" s="2148"/>
      <c r="AH733" s="2302"/>
      <c r="AI733" s="2303"/>
      <c r="AJ733" s="2303"/>
      <c r="AK733" s="2303"/>
      <c r="AL733" s="2304"/>
      <c r="AM733" s="2253" t="str">
        <f t="shared" si="49"/>
        <v xml:space="preserve"> </v>
      </c>
      <c r="AN733" s="2254"/>
      <c r="AO733" s="225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7"/>
      <c r="C734" s="2048"/>
      <c r="D734" s="2048"/>
      <c r="E734" s="2048"/>
      <c r="F734" s="2049"/>
      <c r="G734" s="2274"/>
      <c r="H734" s="2275"/>
      <c r="I734" s="2275"/>
      <c r="J734" s="2276"/>
      <c r="K734" s="2077"/>
      <c r="L734" s="2078"/>
      <c r="M734" s="2078"/>
      <c r="N734" s="2079"/>
      <c r="O734" s="2068"/>
      <c r="P734" s="2069"/>
      <c r="Q734" s="2069"/>
      <c r="R734" s="2069"/>
      <c r="S734" s="2070"/>
      <c r="T734" s="2146">
        <f t="shared" si="47"/>
        <v>0</v>
      </c>
      <c r="U734" s="2147"/>
      <c r="V734" s="2147"/>
      <c r="W734" s="2147"/>
      <c r="X734" s="2148"/>
      <c r="Y734" s="2068"/>
      <c r="Z734" s="2069"/>
      <c r="AA734" s="2069"/>
      <c r="AB734" s="2070"/>
      <c r="AC734" s="2146">
        <f t="shared" si="48"/>
        <v>0</v>
      </c>
      <c r="AD734" s="2147"/>
      <c r="AE734" s="2147"/>
      <c r="AF734" s="2147"/>
      <c r="AG734" s="2148"/>
      <c r="AH734" s="2302"/>
      <c r="AI734" s="2303"/>
      <c r="AJ734" s="2303"/>
      <c r="AK734" s="2303"/>
      <c r="AL734" s="2304"/>
      <c r="AM734" s="2253" t="str">
        <f t="shared" si="49"/>
        <v xml:space="preserve"> </v>
      </c>
      <c r="AN734" s="2254"/>
      <c r="AO734" s="225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7"/>
      <c r="C735" s="2048"/>
      <c r="D735" s="2048"/>
      <c r="E735" s="2048"/>
      <c r="F735" s="2049"/>
      <c r="G735" s="2274"/>
      <c r="H735" s="2275"/>
      <c r="I735" s="2275"/>
      <c r="J735" s="2276"/>
      <c r="K735" s="2077"/>
      <c r="L735" s="2078"/>
      <c r="M735" s="2078"/>
      <c r="N735" s="2079"/>
      <c r="O735" s="2068"/>
      <c r="P735" s="2069"/>
      <c r="Q735" s="2069"/>
      <c r="R735" s="2069"/>
      <c r="S735" s="2070"/>
      <c r="T735" s="2146">
        <f t="shared" si="47"/>
        <v>0</v>
      </c>
      <c r="U735" s="2147"/>
      <c r="V735" s="2147"/>
      <c r="W735" s="2147"/>
      <c r="X735" s="2148"/>
      <c r="Y735" s="2068"/>
      <c r="Z735" s="2069"/>
      <c r="AA735" s="2069"/>
      <c r="AB735" s="2070"/>
      <c r="AC735" s="2146">
        <f t="shared" si="48"/>
        <v>0</v>
      </c>
      <c r="AD735" s="2147"/>
      <c r="AE735" s="2147"/>
      <c r="AF735" s="2147"/>
      <c r="AG735" s="2148"/>
      <c r="AH735" s="2302"/>
      <c r="AI735" s="2303"/>
      <c r="AJ735" s="2303"/>
      <c r="AK735" s="2303"/>
      <c r="AL735" s="2304"/>
      <c r="AM735" s="2253" t="str">
        <f t="shared" si="49"/>
        <v xml:space="preserve"> </v>
      </c>
      <c r="AN735" s="2254"/>
      <c r="AO735" s="225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7"/>
      <c r="C736" s="2048"/>
      <c r="D736" s="2048"/>
      <c r="E736" s="2048"/>
      <c r="F736" s="2049"/>
      <c r="G736" s="2274"/>
      <c r="H736" s="2275"/>
      <c r="I736" s="2275"/>
      <c r="J736" s="2276"/>
      <c r="K736" s="2077"/>
      <c r="L736" s="2078"/>
      <c r="M736" s="2078"/>
      <c r="N736" s="2079"/>
      <c r="O736" s="2068"/>
      <c r="P736" s="2069"/>
      <c r="Q736" s="2069"/>
      <c r="R736" s="2069"/>
      <c r="S736" s="2070"/>
      <c r="T736" s="2146">
        <f t="shared" si="47"/>
        <v>0</v>
      </c>
      <c r="U736" s="2147"/>
      <c r="V736" s="2147"/>
      <c r="W736" s="2147"/>
      <c r="X736" s="2148"/>
      <c r="Y736" s="2068"/>
      <c r="Z736" s="2069"/>
      <c r="AA736" s="2069"/>
      <c r="AB736" s="2070"/>
      <c r="AC736" s="2146">
        <f t="shared" si="48"/>
        <v>0</v>
      </c>
      <c r="AD736" s="2147"/>
      <c r="AE736" s="2147"/>
      <c r="AF736" s="2147"/>
      <c r="AG736" s="2148"/>
      <c r="AH736" s="2302"/>
      <c r="AI736" s="2303"/>
      <c r="AJ736" s="2303"/>
      <c r="AK736" s="2303"/>
      <c r="AL736" s="2304"/>
      <c r="AM736" s="2253" t="str">
        <f t="shared" si="49"/>
        <v xml:space="preserve"> </v>
      </c>
      <c r="AN736" s="2254"/>
      <c r="AO736" s="225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7"/>
      <c r="C737" s="2048"/>
      <c r="D737" s="2048"/>
      <c r="E737" s="2048"/>
      <c r="F737" s="2049"/>
      <c r="G737" s="2274"/>
      <c r="H737" s="2275"/>
      <c r="I737" s="2275"/>
      <c r="J737" s="2276"/>
      <c r="K737" s="2077"/>
      <c r="L737" s="2078"/>
      <c r="M737" s="2078"/>
      <c r="N737" s="2079"/>
      <c r="O737" s="2068"/>
      <c r="P737" s="2069"/>
      <c r="Q737" s="2069"/>
      <c r="R737" s="2069"/>
      <c r="S737" s="2070"/>
      <c r="T737" s="2146">
        <f t="shared" si="47"/>
        <v>0</v>
      </c>
      <c r="U737" s="2147"/>
      <c r="V737" s="2147"/>
      <c r="W737" s="2147"/>
      <c r="X737" s="2148"/>
      <c r="Y737" s="2068"/>
      <c r="Z737" s="2069"/>
      <c r="AA737" s="2069"/>
      <c r="AB737" s="2070"/>
      <c r="AC737" s="2146">
        <f t="shared" si="48"/>
        <v>0</v>
      </c>
      <c r="AD737" s="2147"/>
      <c r="AE737" s="2147"/>
      <c r="AF737" s="2147"/>
      <c r="AG737" s="2148"/>
      <c r="AH737" s="2302"/>
      <c r="AI737" s="2303"/>
      <c r="AJ737" s="2303"/>
      <c r="AK737" s="2303"/>
      <c r="AL737" s="2304"/>
      <c r="AM737" s="2253" t="str">
        <f t="shared" si="49"/>
        <v xml:space="preserve"> </v>
      </c>
      <c r="AN737" s="2254"/>
      <c r="AO737" s="225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7"/>
      <c r="C738" s="2048"/>
      <c r="D738" s="2048"/>
      <c r="E738" s="2048"/>
      <c r="F738" s="2049"/>
      <c r="G738" s="2274"/>
      <c r="H738" s="2275"/>
      <c r="I738" s="2275"/>
      <c r="J738" s="2276"/>
      <c r="K738" s="2077"/>
      <c r="L738" s="2078"/>
      <c r="M738" s="2078"/>
      <c r="N738" s="2079"/>
      <c r="O738" s="2068"/>
      <c r="P738" s="2069"/>
      <c r="Q738" s="2069"/>
      <c r="R738" s="2069"/>
      <c r="S738" s="2070"/>
      <c r="T738" s="2146">
        <f t="shared" si="47"/>
        <v>0</v>
      </c>
      <c r="U738" s="2147"/>
      <c r="V738" s="2147"/>
      <c r="W738" s="2147"/>
      <c r="X738" s="2148"/>
      <c r="Y738" s="2068"/>
      <c r="Z738" s="2069"/>
      <c r="AA738" s="2069"/>
      <c r="AB738" s="2070"/>
      <c r="AC738" s="2146">
        <f t="shared" si="48"/>
        <v>0</v>
      </c>
      <c r="AD738" s="2147"/>
      <c r="AE738" s="2147"/>
      <c r="AF738" s="2147"/>
      <c r="AG738" s="2148"/>
      <c r="AH738" s="2302"/>
      <c r="AI738" s="2303"/>
      <c r="AJ738" s="2303"/>
      <c r="AK738" s="2303"/>
      <c r="AL738" s="2304"/>
      <c r="AM738" s="2253" t="str">
        <f t="shared" si="49"/>
        <v xml:space="preserve"> </v>
      </c>
      <c r="AN738" s="2254"/>
      <c r="AO738" s="225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7"/>
      <c r="C739" s="2048"/>
      <c r="D739" s="2048"/>
      <c r="E739" s="2048"/>
      <c r="F739" s="2049"/>
      <c r="G739" s="2274"/>
      <c r="H739" s="2275"/>
      <c r="I739" s="2275"/>
      <c r="J739" s="2276"/>
      <c r="K739" s="2077"/>
      <c r="L739" s="2078"/>
      <c r="M739" s="2078"/>
      <c r="N739" s="2079"/>
      <c r="O739" s="2068"/>
      <c r="P739" s="2069"/>
      <c r="Q739" s="2069"/>
      <c r="R739" s="2069"/>
      <c r="S739" s="2070"/>
      <c r="T739" s="2146">
        <f t="shared" si="47"/>
        <v>0</v>
      </c>
      <c r="U739" s="2147"/>
      <c r="V739" s="2147"/>
      <c r="W739" s="2147"/>
      <c r="X739" s="2148"/>
      <c r="Y739" s="2068">
        <v>0</v>
      </c>
      <c r="Z739" s="2069"/>
      <c r="AA739" s="2069"/>
      <c r="AB739" s="2070"/>
      <c r="AC739" s="2146">
        <f t="shared" si="48"/>
        <v>0</v>
      </c>
      <c r="AD739" s="2147"/>
      <c r="AE739" s="2147"/>
      <c r="AF739" s="2147"/>
      <c r="AG739" s="2148"/>
      <c r="AH739" s="2302">
        <v>0</v>
      </c>
      <c r="AI739" s="2303"/>
      <c r="AJ739" s="2303"/>
      <c r="AK739" s="2303"/>
      <c r="AL739" s="2304"/>
      <c r="AM739" s="2253" t="str">
        <f t="shared" si="49"/>
        <v xml:space="preserve"> </v>
      </c>
      <c r="AN739" s="2254"/>
      <c r="AO739" s="225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7"/>
      <c r="C740" s="2048"/>
      <c r="D740" s="2048"/>
      <c r="E740" s="2048"/>
      <c r="F740" s="2049"/>
      <c r="G740" s="2274"/>
      <c r="H740" s="2275"/>
      <c r="I740" s="2275"/>
      <c r="J740" s="2276"/>
      <c r="K740" s="2077"/>
      <c r="L740" s="2078"/>
      <c r="M740" s="2078"/>
      <c r="N740" s="2079"/>
      <c r="O740" s="2068"/>
      <c r="P740" s="2069"/>
      <c r="Q740" s="2069"/>
      <c r="R740" s="2069"/>
      <c r="S740" s="2070"/>
      <c r="T740" s="2146">
        <f t="shared" si="47"/>
        <v>0</v>
      </c>
      <c r="U740" s="2147"/>
      <c r="V740" s="2147"/>
      <c r="W740" s="2147"/>
      <c r="X740" s="2148"/>
      <c r="Y740" s="2068">
        <v>0</v>
      </c>
      <c r="Z740" s="2069"/>
      <c r="AA740" s="2069"/>
      <c r="AB740" s="2070"/>
      <c r="AC740" s="2146">
        <f t="shared" si="48"/>
        <v>0</v>
      </c>
      <c r="AD740" s="2147"/>
      <c r="AE740" s="2147"/>
      <c r="AF740" s="2147"/>
      <c r="AG740" s="2148"/>
      <c r="AH740" s="2302">
        <v>0</v>
      </c>
      <c r="AI740" s="2303"/>
      <c r="AJ740" s="2303"/>
      <c r="AK740" s="2303"/>
      <c r="AL740" s="2304"/>
      <c r="AM740" s="2253" t="str">
        <f t="shared" si="49"/>
        <v xml:space="preserve"> </v>
      </c>
      <c r="AN740" s="2254"/>
      <c r="AO740" s="225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7"/>
      <c r="C741" s="2048"/>
      <c r="D741" s="2048"/>
      <c r="E741" s="2048"/>
      <c r="F741" s="2049"/>
      <c r="G741" s="2274"/>
      <c r="H741" s="2275"/>
      <c r="I741" s="2275"/>
      <c r="J741" s="2276"/>
      <c r="K741" s="2077"/>
      <c r="L741" s="2078"/>
      <c r="M741" s="2078"/>
      <c r="N741" s="2079"/>
      <c r="O741" s="2068"/>
      <c r="P741" s="2069"/>
      <c r="Q741" s="2069"/>
      <c r="R741" s="2069"/>
      <c r="S741" s="2070"/>
      <c r="T741" s="2146">
        <f t="shared" si="47"/>
        <v>0</v>
      </c>
      <c r="U741" s="2147"/>
      <c r="V741" s="2147"/>
      <c r="W741" s="2147"/>
      <c r="X741" s="2148"/>
      <c r="Y741" s="2068">
        <v>0</v>
      </c>
      <c r="Z741" s="2069"/>
      <c r="AA741" s="2069"/>
      <c r="AB741" s="2070"/>
      <c r="AC741" s="2146">
        <f t="shared" si="48"/>
        <v>0</v>
      </c>
      <c r="AD741" s="2147"/>
      <c r="AE741" s="2147"/>
      <c r="AF741" s="2147"/>
      <c r="AG741" s="2148"/>
      <c r="AH741" s="2302">
        <v>0</v>
      </c>
      <c r="AI741" s="2303"/>
      <c r="AJ741" s="2303"/>
      <c r="AK741" s="2303"/>
      <c r="AL741" s="2304"/>
      <c r="AM741" s="2253" t="str">
        <f t="shared" si="49"/>
        <v xml:space="preserve"> </v>
      </c>
      <c r="AN741" s="2254"/>
      <c r="AO741" s="225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7"/>
      <c r="C742" s="2048"/>
      <c r="D742" s="2048"/>
      <c r="E742" s="2048"/>
      <c r="F742" s="2049"/>
      <c r="G742" s="2274"/>
      <c r="H742" s="2275"/>
      <c r="I742" s="2275"/>
      <c r="J742" s="2276"/>
      <c r="K742" s="2077"/>
      <c r="L742" s="2078"/>
      <c r="M742" s="2078"/>
      <c r="N742" s="2079"/>
      <c r="O742" s="2068"/>
      <c r="P742" s="2069"/>
      <c r="Q742" s="2069"/>
      <c r="R742" s="2069"/>
      <c r="S742" s="2070"/>
      <c r="T742" s="2146">
        <f t="shared" si="47"/>
        <v>0</v>
      </c>
      <c r="U742" s="2147"/>
      <c r="V742" s="2147"/>
      <c r="W742" s="2147"/>
      <c r="X742" s="2148"/>
      <c r="Y742" s="2068">
        <v>0</v>
      </c>
      <c r="Z742" s="2069"/>
      <c r="AA742" s="2069"/>
      <c r="AB742" s="2070"/>
      <c r="AC742" s="2146">
        <f t="shared" si="48"/>
        <v>0</v>
      </c>
      <c r="AD742" s="2147"/>
      <c r="AE742" s="2147"/>
      <c r="AF742" s="2147"/>
      <c r="AG742" s="2148"/>
      <c r="AH742" s="2302">
        <v>0</v>
      </c>
      <c r="AI742" s="2303"/>
      <c r="AJ742" s="2303"/>
      <c r="AK742" s="2303"/>
      <c r="AL742" s="2304"/>
      <c r="AM742" s="2253" t="str">
        <f t="shared" si="49"/>
        <v xml:space="preserve"> </v>
      </c>
      <c r="AN742" s="2254"/>
      <c r="AO742" s="225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7"/>
      <c r="C743" s="2048"/>
      <c r="D743" s="2048"/>
      <c r="E743" s="2048"/>
      <c r="F743" s="2049"/>
      <c r="G743" s="2274"/>
      <c r="H743" s="2275"/>
      <c r="I743" s="2275"/>
      <c r="J743" s="2276"/>
      <c r="K743" s="2077"/>
      <c r="L743" s="2078"/>
      <c r="M743" s="2078"/>
      <c r="N743" s="2079"/>
      <c r="O743" s="2068"/>
      <c r="P743" s="2069"/>
      <c r="Q743" s="2069"/>
      <c r="R743" s="2069"/>
      <c r="S743" s="2070"/>
      <c r="T743" s="2146">
        <f t="shared" si="47"/>
        <v>0</v>
      </c>
      <c r="U743" s="2147"/>
      <c r="V743" s="2147"/>
      <c r="W743" s="2147"/>
      <c r="X743" s="2148"/>
      <c r="Y743" s="2068">
        <v>0</v>
      </c>
      <c r="Z743" s="2069"/>
      <c r="AA743" s="2069"/>
      <c r="AB743" s="2070"/>
      <c r="AC743" s="2146">
        <f t="shared" si="48"/>
        <v>0</v>
      </c>
      <c r="AD743" s="2147"/>
      <c r="AE743" s="2147"/>
      <c r="AF743" s="2147"/>
      <c r="AG743" s="2148"/>
      <c r="AH743" s="2302">
        <v>0</v>
      </c>
      <c r="AI743" s="2303"/>
      <c r="AJ743" s="2303"/>
      <c r="AK743" s="2303"/>
      <c r="AL743" s="2304"/>
      <c r="AM743" s="2253" t="str">
        <f t="shared" si="49"/>
        <v xml:space="preserve"> </v>
      </c>
      <c r="AN743" s="2254"/>
      <c r="AO743" s="225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7"/>
      <c r="C744" s="2048"/>
      <c r="D744" s="2048"/>
      <c r="E744" s="2048"/>
      <c r="F744" s="2049"/>
      <c r="G744" s="2274"/>
      <c r="H744" s="2275"/>
      <c r="I744" s="2275"/>
      <c r="J744" s="2276"/>
      <c r="K744" s="2077"/>
      <c r="L744" s="2078"/>
      <c r="M744" s="2078"/>
      <c r="N744" s="2079"/>
      <c r="O744" s="2068"/>
      <c r="P744" s="2069"/>
      <c r="Q744" s="2069"/>
      <c r="R744" s="2069"/>
      <c r="S744" s="2070"/>
      <c r="T744" s="2146">
        <f t="shared" si="47"/>
        <v>0</v>
      </c>
      <c r="U744" s="2147"/>
      <c r="V744" s="2147"/>
      <c r="W744" s="2147"/>
      <c r="X744" s="2148"/>
      <c r="Y744" s="2068">
        <v>0</v>
      </c>
      <c r="Z744" s="2069"/>
      <c r="AA744" s="2069"/>
      <c r="AB744" s="2070"/>
      <c r="AC744" s="2146">
        <f t="shared" si="48"/>
        <v>0</v>
      </c>
      <c r="AD744" s="2147"/>
      <c r="AE744" s="2147"/>
      <c r="AF744" s="2147"/>
      <c r="AG744" s="2148"/>
      <c r="AH744" s="2302">
        <v>0</v>
      </c>
      <c r="AI744" s="2303"/>
      <c r="AJ744" s="2303"/>
      <c r="AK744" s="2303"/>
      <c r="AL744" s="2304"/>
      <c r="AM744" s="2253" t="str">
        <f t="shared" si="49"/>
        <v xml:space="preserve"> </v>
      </c>
      <c r="AN744" s="2254"/>
      <c r="AO744" s="225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7"/>
      <c r="C745" s="2048"/>
      <c r="D745" s="2048"/>
      <c r="E745" s="2048"/>
      <c r="F745" s="2049"/>
      <c r="G745" s="2274"/>
      <c r="H745" s="2275"/>
      <c r="I745" s="2275"/>
      <c r="J745" s="2276"/>
      <c r="K745" s="2077"/>
      <c r="L745" s="2078"/>
      <c r="M745" s="2078"/>
      <c r="N745" s="2079"/>
      <c r="O745" s="2068"/>
      <c r="P745" s="2069"/>
      <c r="Q745" s="2069"/>
      <c r="R745" s="2069"/>
      <c r="S745" s="2070"/>
      <c r="T745" s="2146">
        <f t="shared" si="47"/>
        <v>0</v>
      </c>
      <c r="U745" s="2147"/>
      <c r="V745" s="2147"/>
      <c r="W745" s="2147"/>
      <c r="X745" s="2148"/>
      <c r="Y745" s="2068">
        <v>0</v>
      </c>
      <c r="Z745" s="2069"/>
      <c r="AA745" s="2069"/>
      <c r="AB745" s="2070"/>
      <c r="AC745" s="2146">
        <f t="shared" si="48"/>
        <v>0</v>
      </c>
      <c r="AD745" s="2147"/>
      <c r="AE745" s="2147"/>
      <c r="AF745" s="2147"/>
      <c r="AG745" s="2148"/>
      <c r="AH745" s="2302">
        <v>0</v>
      </c>
      <c r="AI745" s="2303"/>
      <c r="AJ745" s="2303"/>
      <c r="AK745" s="2303"/>
      <c r="AL745" s="2304"/>
      <c r="AM745" s="2253" t="str">
        <f t="shared" si="49"/>
        <v xml:space="preserve"> </v>
      </c>
      <c r="AN745" s="2254"/>
      <c r="AO745" s="225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7"/>
      <c r="C746" s="2048"/>
      <c r="D746" s="2048"/>
      <c r="E746" s="2048"/>
      <c r="F746" s="2049"/>
      <c r="G746" s="2274"/>
      <c r="H746" s="2275"/>
      <c r="I746" s="2275"/>
      <c r="J746" s="2276"/>
      <c r="K746" s="2077"/>
      <c r="L746" s="2078"/>
      <c r="M746" s="2078"/>
      <c r="N746" s="2079"/>
      <c r="O746" s="2068"/>
      <c r="P746" s="2069"/>
      <c r="Q746" s="2069"/>
      <c r="R746" s="2069"/>
      <c r="S746" s="2070"/>
      <c r="T746" s="2146">
        <f t="shared" si="47"/>
        <v>0</v>
      </c>
      <c r="U746" s="2147"/>
      <c r="V746" s="2147"/>
      <c r="W746" s="2147"/>
      <c r="X746" s="2148"/>
      <c r="Y746" s="2068">
        <v>0</v>
      </c>
      <c r="Z746" s="2069"/>
      <c r="AA746" s="2069"/>
      <c r="AB746" s="2070"/>
      <c r="AC746" s="2146">
        <f t="shared" si="48"/>
        <v>0</v>
      </c>
      <c r="AD746" s="2147"/>
      <c r="AE746" s="2147"/>
      <c r="AF746" s="2147"/>
      <c r="AG746" s="2148"/>
      <c r="AH746" s="2302">
        <v>0</v>
      </c>
      <c r="AI746" s="2303"/>
      <c r="AJ746" s="2303"/>
      <c r="AK746" s="2303"/>
      <c r="AL746" s="2304"/>
      <c r="AM746" s="2253" t="str">
        <f t="shared" si="49"/>
        <v xml:space="preserve"> </v>
      </c>
      <c r="AN746" s="2254"/>
      <c r="AO746" s="225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7"/>
      <c r="C747" s="2048"/>
      <c r="D747" s="2048"/>
      <c r="E747" s="2048"/>
      <c r="F747" s="2049"/>
      <c r="G747" s="2274"/>
      <c r="H747" s="2275"/>
      <c r="I747" s="2275"/>
      <c r="J747" s="2276"/>
      <c r="K747" s="2077"/>
      <c r="L747" s="2078"/>
      <c r="M747" s="2078"/>
      <c r="N747" s="2079"/>
      <c r="O747" s="2068"/>
      <c r="P747" s="2069"/>
      <c r="Q747" s="2069"/>
      <c r="R747" s="2069"/>
      <c r="S747" s="2070"/>
      <c r="T747" s="2146">
        <f t="shared" si="47"/>
        <v>0</v>
      </c>
      <c r="U747" s="2147"/>
      <c r="V747" s="2147"/>
      <c r="W747" s="2147"/>
      <c r="X747" s="2148"/>
      <c r="Y747" s="2068">
        <v>0</v>
      </c>
      <c r="Z747" s="2069"/>
      <c r="AA747" s="2069"/>
      <c r="AB747" s="2070"/>
      <c r="AC747" s="2146">
        <f t="shared" si="48"/>
        <v>0</v>
      </c>
      <c r="AD747" s="2147"/>
      <c r="AE747" s="2147"/>
      <c r="AF747" s="2147"/>
      <c r="AG747" s="2148"/>
      <c r="AH747" s="2302">
        <v>0</v>
      </c>
      <c r="AI747" s="2303"/>
      <c r="AJ747" s="2303"/>
      <c r="AK747" s="2303"/>
      <c r="AL747" s="2304"/>
      <c r="AM747" s="2253" t="str">
        <f t="shared" si="49"/>
        <v xml:space="preserve"> </v>
      </c>
      <c r="AN747" s="2254"/>
      <c r="AO747" s="225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7"/>
      <c r="C748" s="2048"/>
      <c r="D748" s="2048"/>
      <c r="E748" s="2048"/>
      <c r="F748" s="2049"/>
      <c r="G748" s="2274"/>
      <c r="H748" s="2275"/>
      <c r="I748" s="2275"/>
      <c r="J748" s="2276"/>
      <c r="K748" s="2077"/>
      <c r="L748" s="2078"/>
      <c r="M748" s="2078"/>
      <c r="N748" s="2079"/>
      <c r="O748" s="2068"/>
      <c r="P748" s="2069"/>
      <c r="Q748" s="2069"/>
      <c r="R748" s="2069"/>
      <c r="S748" s="2070"/>
      <c r="T748" s="2146">
        <f t="shared" si="47"/>
        <v>0</v>
      </c>
      <c r="U748" s="2147"/>
      <c r="V748" s="2147"/>
      <c r="W748" s="2147"/>
      <c r="X748" s="2148"/>
      <c r="Y748" s="2068">
        <v>0</v>
      </c>
      <c r="Z748" s="2069"/>
      <c r="AA748" s="2069"/>
      <c r="AB748" s="2070"/>
      <c r="AC748" s="2146">
        <f t="shared" si="48"/>
        <v>0</v>
      </c>
      <c r="AD748" s="2147"/>
      <c r="AE748" s="2147"/>
      <c r="AF748" s="2147"/>
      <c r="AG748" s="2148"/>
      <c r="AH748" s="2302">
        <v>0</v>
      </c>
      <c r="AI748" s="2303"/>
      <c r="AJ748" s="2303"/>
      <c r="AK748" s="2303"/>
      <c r="AL748" s="2304"/>
      <c r="AM748" s="2253" t="str">
        <f t="shared" si="49"/>
        <v xml:space="preserve"> </v>
      </c>
      <c r="AN748" s="2254"/>
      <c r="AO748" s="225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7"/>
      <c r="C749" s="2048"/>
      <c r="D749" s="2048"/>
      <c r="E749" s="2048"/>
      <c r="F749" s="2049"/>
      <c r="G749" s="2274"/>
      <c r="H749" s="2275"/>
      <c r="I749" s="2275"/>
      <c r="J749" s="2276"/>
      <c r="K749" s="2077"/>
      <c r="L749" s="2078"/>
      <c r="M749" s="2078"/>
      <c r="N749" s="2079"/>
      <c r="O749" s="2068"/>
      <c r="P749" s="2069"/>
      <c r="Q749" s="2069"/>
      <c r="R749" s="2069"/>
      <c r="S749" s="2070"/>
      <c r="T749" s="2146">
        <f t="shared" si="47"/>
        <v>0</v>
      </c>
      <c r="U749" s="2147"/>
      <c r="V749" s="2147"/>
      <c r="W749" s="2147"/>
      <c r="X749" s="2148"/>
      <c r="Y749" s="2068">
        <v>0</v>
      </c>
      <c r="Z749" s="2069"/>
      <c r="AA749" s="2069"/>
      <c r="AB749" s="2070"/>
      <c r="AC749" s="2146">
        <f t="shared" si="48"/>
        <v>0</v>
      </c>
      <c r="AD749" s="2147"/>
      <c r="AE749" s="2147"/>
      <c r="AF749" s="2147"/>
      <c r="AG749" s="2148"/>
      <c r="AH749" s="2302">
        <v>0</v>
      </c>
      <c r="AI749" s="2303"/>
      <c r="AJ749" s="2303"/>
      <c r="AK749" s="2303"/>
      <c r="AL749" s="2304"/>
      <c r="AM749" s="2253" t="str">
        <f t="shared" si="49"/>
        <v xml:space="preserve"> </v>
      </c>
      <c r="AN749" s="2254"/>
      <c r="AO749" s="225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74"/>
      <c r="H750" s="2275"/>
      <c r="I750" s="2275"/>
      <c r="J750" s="2276"/>
      <c r="K750" s="2077"/>
      <c r="L750" s="2078"/>
      <c r="M750" s="2078"/>
      <c r="N750" s="2079"/>
      <c r="O750" s="2068"/>
      <c r="P750" s="2069"/>
      <c r="Q750" s="2069"/>
      <c r="R750" s="2069"/>
      <c r="S750" s="2070"/>
      <c r="T750" s="2146">
        <f t="shared" si="47"/>
        <v>0</v>
      </c>
      <c r="U750" s="2147"/>
      <c r="V750" s="2147"/>
      <c r="W750" s="2147"/>
      <c r="X750" s="2148"/>
      <c r="Y750" s="2068">
        <v>0</v>
      </c>
      <c r="Z750" s="2069"/>
      <c r="AA750" s="2069"/>
      <c r="AB750" s="2070"/>
      <c r="AC750" s="2146">
        <f t="shared" si="48"/>
        <v>0</v>
      </c>
      <c r="AD750" s="2147"/>
      <c r="AE750" s="2147"/>
      <c r="AF750" s="2147"/>
      <c r="AG750" s="2148"/>
      <c r="AH750" s="2302">
        <v>0</v>
      </c>
      <c r="AI750" s="2303"/>
      <c r="AJ750" s="2303"/>
      <c r="AK750" s="2303"/>
      <c r="AL750" s="2304"/>
      <c r="AM750" s="2253" t="str">
        <f t="shared" si="49"/>
        <v xml:space="preserve"> </v>
      </c>
      <c r="AN750" s="2254"/>
      <c r="AO750" s="225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7"/>
      <c r="C751" s="2048"/>
      <c r="D751" s="2048"/>
      <c r="E751" s="2048"/>
      <c r="F751" s="2049"/>
      <c r="G751" s="2274"/>
      <c r="H751" s="2275"/>
      <c r="I751" s="2275"/>
      <c r="J751" s="2276"/>
      <c r="K751" s="2077"/>
      <c r="L751" s="2078"/>
      <c r="M751" s="2078"/>
      <c r="N751" s="2079"/>
      <c r="O751" s="2068"/>
      <c r="P751" s="2069"/>
      <c r="Q751" s="2069"/>
      <c r="R751" s="2069"/>
      <c r="S751" s="2070"/>
      <c r="T751" s="2146">
        <f t="shared" si="47"/>
        <v>0</v>
      </c>
      <c r="U751" s="2147"/>
      <c r="V751" s="2147"/>
      <c r="W751" s="2147"/>
      <c r="X751" s="2148"/>
      <c r="Y751" s="2068">
        <v>0</v>
      </c>
      <c r="Z751" s="2069"/>
      <c r="AA751" s="2069"/>
      <c r="AB751" s="2070"/>
      <c r="AC751" s="2146">
        <f t="shared" si="48"/>
        <v>0</v>
      </c>
      <c r="AD751" s="2147"/>
      <c r="AE751" s="2147"/>
      <c r="AF751" s="2147"/>
      <c r="AG751" s="2148"/>
      <c r="AH751" s="2302">
        <v>0</v>
      </c>
      <c r="AI751" s="2303"/>
      <c r="AJ751" s="2303"/>
      <c r="AK751" s="2303"/>
      <c r="AL751" s="2304"/>
      <c r="AM751" s="2253" t="str">
        <f t="shared" si="49"/>
        <v xml:space="preserve"> </v>
      </c>
      <c r="AN751" s="2254"/>
      <c r="AO751" s="225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7"/>
      <c r="C752" s="2048"/>
      <c r="D752" s="2048"/>
      <c r="E752" s="2048"/>
      <c r="F752" s="2049"/>
      <c r="G752" s="2274"/>
      <c r="H752" s="2275"/>
      <c r="I752" s="2275"/>
      <c r="J752" s="2276"/>
      <c r="K752" s="2077"/>
      <c r="L752" s="2078"/>
      <c r="M752" s="2078"/>
      <c r="N752" s="2079"/>
      <c r="O752" s="2068"/>
      <c r="P752" s="2069"/>
      <c r="Q752" s="2069"/>
      <c r="R752" s="2069"/>
      <c r="S752" s="2070"/>
      <c r="T752" s="2146">
        <f t="shared" si="47"/>
        <v>0</v>
      </c>
      <c r="U752" s="2147"/>
      <c r="V752" s="2147"/>
      <c r="W752" s="2147"/>
      <c r="X752" s="2148"/>
      <c r="Y752" s="2068">
        <v>0</v>
      </c>
      <c r="Z752" s="2069"/>
      <c r="AA752" s="2069"/>
      <c r="AB752" s="2070"/>
      <c r="AC752" s="2146">
        <f t="shared" si="48"/>
        <v>0</v>
      </c>
      <c r="AD752" s="2147"/>
      <c r="AE752" s="2147"/>
      <c r="AF752" s="2147"/>
      <c r="AG752" s="2148"/>
      <c r="AH752" s="2302">
        <v>0</v>
      </c>
      <c r="AI752" s="2303"/>
      <c r="AJ752" s="2303"/>
      <c r="AK752" s="2303"/>
      <c r="AL752" s="2304"/>
      <c r="AM752" s="2253" t="str">
        <f t="shared" si="49"/>
        <v xml:space="preserve"> </v>
      </c>
      <c r="AN752" s="2254"/>
      <c r="AO752" s="225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271">
        <f>SUM(G728:J752)</f>
        <v>88</v>
      </c>
      <c r="H753" s="2272"/>
      <c r="I753" s="2272"/>
      <c r="J753" s="2273"/>
      <c r="O753" s="1584" t="s">
        <v>129</v>
      </c>
      <c r="P753" s="1585"/>
      <c r="Q753" s="1585"/>
      <c r="R753" s="1585"/>
      <c r="S753" s="1586"/>
      <c r="T753" s="2146">
        <f>SUM(T728:X752)</f>
        <v>52008</v>
      </c>
      <c r="U753" s="2147"/>
      <c r="V753" s="2147"/>
      <c r="W753" s="2147"/>
      <c r="X753" s="2148"/>
      <c r="AC753" s="1588" t="s">
        <v>968</v>
      </c>
      <c r="AD753" s="1587"/>
      <c r="AE753" s="1587"/>
      <c r="AF753" s="1587"/>
      <c r="AG753" s="1589"/>
      <c r="AH753" s="2374">
        <f>BI696</f>
        <v>0.3</v>
      </c>
      <c r="AI753" s="2375"/>
      <c r="AJ753" s="2375"/>
      <c r="AK753" s="2375"/>
      <c r="AL753" s="2376"/>
      <c r="AM753" s="2374">
        <f>BI728</f>
        <v>0.3</v>
      </c>
      <c r="AN753" s="2375"/>
      <c r="AO753" s="2376"/>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41" t="s">
        <v>625</v>
      </c>
      <c r="AG755" s="2441"/>
      <c r="AH755" s="2441"/>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406</v>
      </c>
      <c r="K768" s="2116"/>
      <c r="L768" s="2116"/>
      <c r="M768" s="2116"/>
      <c r="N768" s="2117"/>
      <c r="O768" s="2309" t="s">
        <v>290</v>
      </c>
      <c r="P768" s="2309"/>
      <c r="Q768" s="2309"/>
      <c r="R768" s="2309"/>
      <c r="S768" s="2309"/>
      <c r="T768" s="2293" t="s">
        <v>2154</v>
      </c>
      <c r="U768" s="2294"/>
      <c r="V768" s="2294"/>
      <c r="W768" s="2295"/>
      <c r="X768" s="2115" t="s">
        <v>477</v>
      </c>
      <c r="Y768" s="2116"/>
      <c r="Z768" s="2116"/>
      <c r="AA768" s="2116"/>
      <c r="AB768" s="2117"/>
      <c r="AC768" s="2115" t="s">
        <v>291</v>
      </c>
      <c r="AD768" s="2116"/>
      <c r="AE768" s="2116"/>
      <c r="AF768" s="2116"/>
      <c r="AG768" s="2117"/>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309"/>
      <c r="P769" s="2309"/>
      <c r="Q769" s="2309"/>
      <c r="R769" s="2309"/>
      <c r="S769" s="2309"/>
      <c r="T769" s="2296"/>
      <c r="U769" s="2297"/>
      <c r="V769" s="2297"/>
      <c r="W769" s="2298"/>
      <c r="X769" s="2118"/>
      <c r="Y769" s="2119"/>
      <c r="Z769" s="2119"/>
      <c r="AA769" s="2119"/>
      <c r="AB769" s="2120"/>
      <c r="AC769" s="2118"/>
      <c r="AD769" s="2119"/>
      <c r="AE769" s="2119"/>
      <c r="AF769" s="2119"/>
      <c r="AG769" s="2120"/>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309"/>
      <c r="P770" s="2309"/>
      <c r="Q770" s="2309"/>
      <c r="R770" s="2309"/>
      <c r="S770" s="2309"/>
      <c r="T770" s="2296"/>
      <c r="U770" s="2297"/>
      <c r="V770" s="2297"/>
      <c r="W770" s="2298"/>
      <c r="X770" s="2118"/>
      <c r="Y770" s="2119"/>
      <c r="Z770" s="2119"/>
      <c r="AA770" s="2119"/>
      <c r="AB770" s="2120"/>
      <c r="AC770" s="2118"/>
      <c r="AD770" s="2119"/>
      <c r="AE770" s="2119"/>
      <c r="AF770" s="2119"/>
      <c r="AG770" s="2120"/>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309"/>
      <c r="P771" s="2309"/>
      <c r="Q771" s="2309"/>
      <c r="R771" s="2309"/>
      <c r="S771" s="2309"/>
      <c r="T771" s="2299"/>
      <c r="U771" s="2300"/>
      <c r="V771" s="2300"/>
      <c r="W771" s="2301"/>
      <c r="X771" s="2121"/>
      <c r="Y771" s="2122"/>
      <c r="Z771" s="2122"/>
      <c r="AA771" s="2122"/>
      <c r="AB771" s="2123"/>
      <c r="AC771" s="2121"/>
      <c r="AD771" s="2122"/>
      <c r="AE771" s="2122"/>
      <c r="AF771" s="2122"/>
      <c r="AG771" s="2123"/>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168</v>
      </c>
      <c r="K772" s="2048"/>
      <c r="L772" s="2048"/>
      <c r="M772" s="2048"/>
      <c r="N772" s="2049"/>
      <c r="O772" s="2084">
        <v>1</v>
      </c>
      <c r="P772" s="2084"/>
      <c r="Q772" s="2084"/>
      <c r="R772" s="2084"/>
      <c r="S772" s="2084"/>
      <c r="T772" s="2077">
        <v>845</v>
      </c>
      <c r="U772" s="2078"/>
      <c r="V772" s="2078"/>
      <c r="W772" s="2079"/>
      <c r="X772" s="2068">
        <v>0</v>
      </c>
      <c r="Y772" s="2069"/>
      <c r="Z772" s="2069"/>
      <c r="AA772" s="2069"/>
      <c r="AB772" s="2070"/>
      <c r="AC772" s="2146">
        <f>X772*O772</f>
        <v>0</v>
      </c>
      <c r="AD772" s="2147"/>
      <c r="AE772" s="2147"/>
      <c r="AF772" s="2147"/>
      <c r="AG772" s="2148"/>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4"/>
      <c r="P773" s="2084"/>
      <c r="Q773" s="2084"/>
      <c r="R773" s="2084"/>
      <c r="S773" s="2084"/>
      <c r="T773" s="2077"/>
      <c r="U773" s="2078"/>
      <c r="V773" s="2078"/>
      <c r="W773" s="2079"/>
      <c r="X773" s="2068"/>
      <c r="Y773" s="2069"/>
      <c r="Z773" s="2069"/>
      <c r="AA773" s="2069"/>
      <c r="AB773" s="2070"/>
      <c r="AC773" s="2146">
        <f>X773*O773</f>
        <v>0</v>
      </c>
      <c r="AD773" s="2147"/>
      <c r="AE773" s="2147"/>
      <c r="AF773" s="2147"/>
      <c r="AG773" s="2148"/>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4"/>
      <c r="P774" s="2084"/>
      <c r="Q774" s="2084"/>
      <c r="R774" s="2084"/>
      <c r="S774" s="2084"/>
      <c r="T774" s="2077"/>
      <c r="U774" s="2078"/>
      <c r="V774" s="2078"/>
      <c r="W774" s="2079"/>
      <c r="X774" s="2068"/>
      <c r="Y774" s="2069"/>
      <c r="Z774" s="2069"/>
      <c r="AA774" s="2069"/>
      <c r="AB774" s="2070"/>
      <c r="AC774" s="2146">
        <f>X774*O774</f>
        <v>0</v>
      </c>
      <c r="AD774" s="2147"/>
      <c r="AE774" s="2147"/>
      <c r="AF774" s="2147"/>
      <c r="AG774" s="2148"/>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4"/>
      <c r="P775" s="2084"/>
      <c r="Q775" s="2084"/>
      <c r="R775" s="2084"/>
      <c r="S775" s="2084"/>
      <c r="T775" s="2077"/>
      <c r="U775" s="2078"/>
      <c r="V775" s="2078"/>
      <c r="W775" s="2079"/>
      <c r="X775" s="2068"/>
      <c r="Y775" s="2069"/>
      <c r="Z775" s="2069"/>
      <c r="AA775" s="2069"/>
      <c r="AB775" s="2070"/>
      <c r="AC775" s="2146">
        <f>X775*O775</f>
        <v>0</v>
      </c>
      <c r="AD775" s="2147"/>
      <c r="AE775" s="2147"/>
      <c r="AF775" s="2147"/>
      <c r="AG775" s="2148"/>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400">
        <f>SUM(O772:S775)</f>
        <v>1</v>
      </c>
      <c r="P776" s="2401"/>
      <c r="Q776" s="2401"/>
      <c r="R776" s="2401"/>
      <c r="S776" s="2402"/>
      <c r="X776" s="2438" t="s">
        <v>129</v>
      </c>
      <c r="Y776" s="2439"/>
      <c r="Z776" s="2439"/>
      <c r="AA776" s="2439"/>
      <c r="AB776" s="2440"/>
      <c r="AC776" s="2146">
        <f>SUM(AC772:AG775)</f>
        <v>0</v>
      </c>
      <c r="AD776" s="2147"/>
      <c r="AE776" s="2147"/>
      <c r="AF776" s="2147"/>
      <c r="AG776" s="2148"/>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705</v>
      </c>
      <c r="K778" s="2064"/>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406</v>
      </c>
      <c r="K782" s="2116"/>
      <c r="L782" s="2116"/>
      <c r="M782" s="2116"/>
      <c r="N782" s="2117"/>
      <c r="O782" s="2309" t="s">
        <v>290</v>
      </c>
      <c r="P782" s="2309"/>
      <c r="Q782" s="2309"/>
      <c r="R782" s="2309"/>
      <c r="S782" s="2309"/>
      <c r="T782" s="2293" t="s">
        <v>2154</v>
      </c>
      <c r="U782" s="2294"/>
      <c r="V782" s="2294"/>
      <c r="W782" s="2295"/>
      <c r="X782" s="2115" t="s">
        <v>477</v>
      </c>
      <c r="Y782" s="2116"/>
      <c r="Z782" s="2116"/>
      <c r="AA782" s="2116"/>
      <c r="AB782" s="2117"/>
      <c r="AC782" s="2115" t="s">
        <v>291</v>
      </c>
      <c r="AD782" s="2116"/>
      <c r="AE782" s="2116"/>
      <c r="AF782" s="2116"/>
      <c r="AG782" s="2117"/>
      <c r="AH782" s="2308" t="s">
        <v>2394</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309"/>
      <c r="P783" s="2309"/>
      <c r="Q783" s="2309"/>
      <c r="R783" s="2309"/>
      <c r="S783" s="2309"/>
      <c r="T783" s="2296"/>
      <c r="U783" s="2297"/>
      <c r="V783" s="2297"/>
      <c r="W783" s="2298"/>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309"/>
      <c r="P784" s="2309"/>
      <c r="Q784" s="2309"/>
      <c r="R784" s="2309"/>
      <c r="S784" s="2309"/>
      <c r="T784" s="2296"/>
      <c r="U784" s="2297"/>
      <c r="V784" s="2297"/>
      <c r="W784" s="2298"/>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309"/>
      <c r="P785" s="2309"/>
      <c r="Q785" s="2309"/>
      <c r="R785" s="2309"/>
      <c r="S785" s="2309"/>
      <c r="T785" s="2299"/>
      <c r="U785" s="2300"/>
      <c r="V785" s="2300"/>
      <c r="W785" s="2301"/>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4"/>
      <c r="P786" s="2084"/>
      <c r="Q786" s="2084"/>
      <c r="R786" s="2084"/>
      <c r="S786" s="2084"/>
      <c r="T786" s="2077"/>
      <c r="U786" s="2078"/>
      <c r="V786" s="2078"/>
      <c r="W786" s="2079"/>
      <c r="X786" s="2068"/>
      <c r="Y786" s="2069"/>
      <c r="Z786" s="2069"/>
      <c r="AA786" s="2069"/>
      <c r="AB786" s="2070"/>
      <c r="AC786" s="2146">
        <f t="shared" ref="AC786:AC795" si="50">X786*O786</f>
        <v>0</v>
      </c>
      <c r="AD786" s="2147"/>
      <c r="AE786" s="2147"/>
      <c r="AF786" s="2147"/>
      <c r="AG786" s="2148"/>
      <c r="AH786" s="2302"/>
      <c r="AI786" s="2303"/>
      <c r="AJ786" s="2303"/>
      <c r="AK786" s="2303"/>
      <c r="AL786" s="230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4"/>
      <c r="P787" s="2084"/>
      <c r="Q787" s="2084"/>
      <c r="R787" s="2084"/>
      <c r="S787" s="2084"/>
      <c r="T787" s="2077"/>
      <c r="U787" s="2078"/>
      <c r="V787" s="2078"/>
      <c r="W787" s="2079"/>
      <c r="X787" s="2068"/>
      <c r="Y787" s="2069"/>
      <c r="Z787" s="2069"/>
      <c r="AA787" s="2069"/>
      <c r="AB787" s="2070"/>
      <c r="AC787" s="2146">
        <f t="shared" si="50"/>
        <v>0</v>
      </c>
      <c r="AD787" s="2147"/>
      <c r="AE787" s="2147"/>
      <c r="AF787" s="2147"/>
      <c r="AG787" s="2148"/>
      <c r="AH787" s="2302"/>
      <c r="AI787" s="2303"/>
      <c r="AJ787" s="2303"/>
      <c r="AK787" s="2303"/>
      <c r="AL787" s="230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4"/>
      <c r="P788" s="2084"/>
      <c r="Q788" s="2084"/>
      <c r="R788" s="2084"/>
      <c r="S788" s="2084"/>
      <c r="T788" s="2077"/>
      <c r="U788" s="2078"/>
      <c r="V788" s="2078"/>
      <c r="W788" s="2079"/>
      <c r="X788" s="2068"/>
      <c r="Y788" s="2069"/>
      <c r="Z788" s="2069"/>
      <c r="AA788" s="2069"/>
      <c r="AB788" s="2070"/>
      <c r="AC788" s="2146">
        <f t="shared" si="50"/>
        <v>0</v>
      </c>
      <c r="AD788" s="2147"/>
      <c r="AE788" s="2147"/>
      <c r="AF788" s="2147"/>
      <c r="AG788" s="2148"/>
      <c r="AH788" s="2302"/>
      <c r="AI788" s="2303"/>
      <c r="AJ788" s="2303"/>
      <c r="AK788" s="2303"/>
      <c r="AL788" s="230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4"/>
      <c r="P789" s="2084"/>
      <c r="Q789" s="2084"/>
      <c r="R789" s="2084"/>
      <c r="S789" s="2084"/>
      <c r="T789" s="2077"/>
      <c r="U789" s="2078"/>
      <c r="V789" s="2078"/>
      <c r="W789" s="2079"/>
      <c r="X789" s="2068"/>
      <c r="Y789" s="2069"/>
      <c r="Z789" s="2069"/>
      <c r="AA789" s="2069"/>
      <c r="AB789" s="2070"/>
      <c r="AC789" s="2146">
        <f t="shared" si="50"/>
        <v>0</v>
      </c>
      <c r="AD789" s="2147"/>
      <c r="AE789" s="2147"/>
      <c r="AF789" s="2147"/>
      <c r="AG789" s="2148"/>
      <c r="AH789" s="2302"/>
      <c r="AI789" s="2303"/>
      <c r="AJ789" s="2303"/>
      <c r="AK789" s="2303"/>
      <c r="AL789" s="230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4"/>
      <c r="P790" s="2084"/>
      <c r="Q790" s="2084"/>
      <c r="R790" s="2084"/>
      <c r="S790" s="2084"/>
      <c r="T790" s="2077"/>
      <c r="U790" s="2078"/>
      <c r="V790" s="2078"/>
      <c r="W790" s="2079"/>
      <c r="X790" s="2068"/>
      <c r="Y790" s="2069"/>
      <c r="Z790" s="2069"/>
      <c r="AA790" s="2069"/>
      <c r="AB790" s="2070"/>
      <c r="AC790" s="2146">
        <f t="shared" si="50"/>
        <v>0</v>
      </c>
      <c r="AD790" s="2147"/>
      <c r="AE790" s="2147"/>
      <c r="AF790" s="2147"/>
      <c r="AG790" s="2148"/>
      <c r="AH790" s="2302"/>
      <c r="AI790" s="2303"/>
      <c r="AJ790" s="2303"/>
      <c r="AK790" s="2303"/>
      <c r="AL790" s="230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4"/>
      <c r="P791" s="2084"/>
      <c r="Q791" s="2084"/>
      <c r="R791" s="2084"/>
      <c r="S791" s="2084"/>
      <c r="T791" s="2077"/>
      <c r="U791" s="2078"/>
      <c r="V791" s="2078"/>
      <c r="W791" s="2079"/>
      <c r="X791" s="2068"/>
      <c r="Y791" s="2069"/>
      <c r="Z791" s="2069"/>
      <c r="AA791" s="2069"/>
      <c r="AB791" s="2070"/>
      <c r="AC791" s="2146">
        <f t="shared" si="50"/>
        <v>0</v>
      </c>
      <c r="AD791" s="2147"/>
      <c r="AE791" s="2147"/>
      <c r="AF791" s="2147"/>
      <c r="AG791" s="2148"/>
      <c r="AH791" s="2302"/>
      <c r="AI791" s="2303"/>
      <c r="AJ791" s="2303"/>
      <c r="AK791" s="2303"/>
      <c r="AL791" s="230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4"/>
      <c r="P792" s="2084"/>
      <c r="Q792" s="2084"/>
      <c r="R792" s="2084"/>
      <c r="S792" s="2084"/>
      <c r="T792" s="2077"/>
      <c r="U792" s="2078"/>
      <c r="V792" s="2078"/>
      <c r="W792" s="2079"/>
      <c r="X792" s="2068"/>
      <c r="Y792" s="2069"/>
      <c r="Z792" s="2069"/>
      <c r="AA792" s="2069"/>
      <c r="AB792" s="2070"/>
      <c r="AC792" s="2146">
        <f t="shared" si="50"/>
        <v>0</v>
      </c>
      <c r="AD792" s="2147"/>
      <c r="AE792" s="2147"/>
      <c r="AF792" s="2147"/>
      <c r="AG792" s="2148"/>
      <c r="AH792" s="2302"/>
      <c r="AI792" s="2303"/>
      <c r="AJ792" s="2303"/>
      <c r="AK792" s="2303"/>
      <c r="AL792" s="230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4"/>
      <c r="P793" s="2084"/>
      <c r="Q793" s="2084"/>
      <c r="R793" s="2084"/>
      <c r="S793" s="2084"/>
      <c r="T793" s="2077"/>
      <c r="U793" s="2078"/>
      <c r="V793" s="2078"/>
      <c r="W793" s="2079"/>
      <c r="X793" s="2068"/>
      <c r="Y793" s="2069"/>
      <c r="Z793" s="2069"/>
      <c r="AA793" s="2069"/>
      <c r="AB793" s="2070"/>
      <c r="AC793" s="2146">
        <f t="shared" si="50"/>
        <v>0</v>
      </c>
      <c r="AD793" s="2147"/>
      <c r="AE793" s="2147"/>
      <c r="AF793" s="2147"/>
      <c r="AG793" s="2148"/>
      <c r="AH793" s="2302"/>
      <c r="AI793" s="2303"/>
      <c r="AJ793" s="2303"/>
      <c r="AK793" s="2303"/>
      <c r="AL793" s="230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4"/>
      <c r="P794" s="2084"/>
      <c r="Q794" s="2084"/>
      <c r="R794" s="2084"/>
      <c r="S794" s="2084"/>
      <c r="T794" s="2077"/>
      <c r="U794" s="2078"/>
      <c r="V794" s="2078"/>
      <c r="W794" s="2079"/>
      <c r="X794" s="2068"/>
      <c r="Y794" s="2069"/>
      <c r="Z794" s="2069"/>
      <c r="AA794" s="2069"/>
      <c r="AB794" s="2070"/>
      <c r="AC794" s="2146">
        <f t="shared" si="50"/>
        <v>0</v>
      </c>
      <c r="AD794" s="2147"/>
      <c r="AE794" s="2147"/>
      <c r="AF794" s="2147"/>
      <c r="AG794" s="2148"/>
      <c r="AH794" s="2302"/>
      <c r="AI794" s="2303"/>
      <c r="AJ794" s="2303"/>
      <c r="AK794" s="2303"/>
      <c r="AL794" s="230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4"/>
      <c r="P795" s="2084"/>
      <c r="Q795" s="2084"/>
      <c r="R795" s="2084"/>
      <c r="S795" s="2084"/>
      <c r="T795" s="2077"/>
      <c r="U795" s="2078"/>
      <c r="V795" s="2078"/>
      <c r="W795" s="2079"/>
      <c r="X795" s="2068"/>
      <c r="Y795" s="2069"/>
      <c r="Z795" s="2069"/>
      <c r="AA795" s="2069"/>
      <c r="AB795" s="2070"/>
      <c r="AC795" s="2146">
        <f t="shared" si="50"/>
        <v>0</v>
      </c>
      <c r="AD795" s="2147"/>
      <c r="AE795" s="2147"/>
      <c r="AF795" s="2147"/>
      <c r="AG795" s="2148"/>
      <c r="AH795" s="2302"/>
      <c r="AI795" s="2303"/>
      <c r="AJ795" s="2303"/>
      <c r="AK795" s="2303"/>
      <c r="AL795" s="230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310">
        <f>SUM(O786:S795)</f>
        <v>0</v>
      </c>
      <c r="P796" s="2310"/>
      <c r="Q796" s="2310"/>
      <c r="R796" s="2310"/>
      <c r="S796" s="2310"/>
      <c r="X796" s="1601" t="s">
        <v>129</v>
      </c>
      <c r="Y796" s="1602"/>
      <c r="Z796" s="1602"/>
      <c r="AA796" s="1602"/>
      <c r="AB796" s="1603"/>
      <c r="AC796" s="2146">
        <f>SUM(AC786:AG795)</f>
        <v>0</v>
      </c>
      <c r="AD796" s="2147"/>
      <c r="AE796" s="2147"/>
      <c r="AF796" s="2147"/>
      <c r="AG796" s="214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9">
        <f>T753+AC776+AC796</f>
        <v>52008</v>
      </c>
      <c r="Z798" s="2139"/>
      <c r="AA798" s="2139"/>
      <c r="AB798" s="2139"/>
      <c r="AC798" s="213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9">
        <f>(T753+AC776+AC796)*12</f>
        <v>624096</v>
      </c>
      <c r="Z799" s="2139"/>
      <c r="AA799" s="2139"/>
      <c r="AB799" s="2139"/>
      <c r="AC799" s="2139"/>
      <c r="AZ799" s="58"/>
      <c r="BA799" s="51" t="s">
        <v>666</v>
      </c>
      <c r="BB799" s="51"/>
      <c r="BC799" s="51"/>
      <c r="BD799" s="51"/>
      <c r="BE799" s="51"/>
      <c r="BF799" s="51"/>
      <c r="BG799" s="51"/>
      <c r="BH799" s="51"/>
      <c r="BI799" s="51"/>
      <c r="BJ799" s="51"/>
      <c r="BK799" s="51"/>
      <c r="BL799" s="51"/>
      <c r="BM799" s="51"/>
      <c r="BN799" s="2372" t="s">
        <v>501</v>
      </c>
      <c r="BO799" s="2373"/>
      <c r="BP799" s="58"/>
      <c r="BQ799" s="58"/>
      <c r="BR799" s="58"/>
      <c r="BS799" s="51" t="s">
        <v>668</v>
      </c>
      <c r="BT799" s="51"/>
      <c r="BU799" s="51"/>
      <c r="BV799" s="51"/>
      <c r="BW799" s="51"/>
      <c r="BX799" s="51"/>
      <c r="BY799" s="51"/>
      <c r="BZ799" s="51"/>
      <c r="CA799" s="51"/>
      <c r="CB799" s="2369" t="str">
        <f>T189</f>
        <v>Los Angeles</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2">
        <v>88</v>
      </c>
      <c r="AA804" s="2283"/>
      <c r="AB804" s="2283"/>
      <c r="AC804" s="2283"/>
      <c r="AD804" s="2283"/>
      <c r="AE804" s="228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5">
        <v>20</v>
      </c>
      <c r="AA805" s="2283"/>
      <c r="AB805" s="2283"/>
      <c r="AC805" s="2283"/>
      <c r="AD805" s="2283"/>
      <c r="AE805" s="228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0">
        <v>52352</v>
      </c>
      <c r="AA806" s="2339"/>
      <c r="AB806" s="2339"/>
      <c r="AC806" s="2339"/>
      <c r="AD806" s="2339"/>
      <c r="AE806" s="234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0">
        <f>'Subsidy Contract Calculation'!I30</f>
        <v>789888</v>
      </c>
      <c r="AA807" s="2141"/>
      <c r="AB807" s="2141"/>
      <c r="AC807" s="2141"/>
      <c r="AD807" s="2141"/>
      <c r="AE807" s="214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3738</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1">
        <v>262291</v>
      </c>
      <c r="BQ811" s="511">
        <v>302419</v>
      </c>
      <c r="BR811" s="511">
        <v>364800</v>
      </c>
      <c r="BS811" s="511">
        <v>466944</v>
      </c>
      <c r="BT811" s="511">
        <v>520205</v>
      </c>
      <c r="BU811" s="56"/>
      <c r="BV811" s="36" t="s">
        <v>348</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5" t="s">
        <v>342</v>
      </c>
      <c r="Q814" s="2306"/>
      <c r="R814" s="2306"/>
      <c r="S814" s="2306"/>
      <c r="T814" s="2306"/>
      <c r="U814" s="2306"/>
      <c r="V814" s="2306"/>
      <c r="W814" s="2306"/>
      <c r="X814" s="2306"/>
      <c r="Y814" s="2307"/>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0">
        <f>SUM(Z811:AE814)</f>
        <v>3738</v>
      </c>
      <c r="AA815" s="2141"/>
      <c r="AB815" s="2141"/>
      <c r="AC815" s="2141"/>
      <c r="AD815" s="2141"/>
      <c r="AE815" s="214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0">
        <f>Z815+Y799+Z807</f>
        <v>1417722</v>
      </c>
      <c r="AA816" s="2141"/>
      <c r="AB816" s="2141"/>
      <c r="AC816" s="2141"/>
      <c r="AD816" s="2141"/>
      <c r="AE816" s="214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7" t="s">
        <v>131</v>
      </c>
      <c r="N821" s="2277"/>
      <c r="O821" s="2277"/>
      <c r="P821" s="2278"/>
      <c r="Q821" s="2281" t="s">
        <v>297</v>
      </c>
      <c r="R821" s="2281"/>
      <c r="S821" s="2281"/>
      <c r="T821" s="2281"/>
      <c r="U821" s="2281" t="s">
        <v>298</v>
      </c>
      <c r="V821" s="2281"/>
      <c r="W821" s="2281"/>
      <c r="X821" s="2281"/>
      <c r="Y821" s="2281" t="s">
        <v>299</v>
      </c>
      <c r="Z821" s="2281"/>
      <c r="AA821" s="2281"/>
      <c r="AB821" s="2281"/>
      <c r="AC821" s="2281" t="s">
        <v>370</v>
      </c>
      <c r="AD821" s="2281"/>
      <c r="AE821" s="2281"/>
      <c r="AF821" s="2281"/>
      <c r="AG821" s="2433" t="s">
        <v>343</v>
      </c>
      <c r="AH821" s="2433"/>
      <c r="AI821" s="2433"/>
      <c r="AJ821" s="243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9"/>
      <c r="N822" s="2279"/>
      <c r="O822" s="2279"/>
      <c r="P822" s="2280"/>
      <c r="Q822" s="2281"/>
      <c r="R822" s="2281"/>
      <c r="S822" s="2281"/>
      <c r="T822" s="2281"/>
      <c r="U822" s="2281"/>
      <c r="V822" s="2281"/>
      <c r="W822" s="2281"/>
      <c r="X822" s="2281"/>
      <c r="Y822" s="2281"/>
      <c r="Z822" s="2281"/>
      <c r="AA822" s="2281"/>
      <c r="AB822" s="2281"/>
      <c r="AC822" s="2281"/>
      <c r="AD822" s="2281"/>
      <c r="AE822" s="2281"/>
      <c r="AF822" s="2281"/>
      <c r="AG822" s="2433"/>
      <c r="AH822" s="2433"/>
      <c r="AI822" s="2433"/>
      <c r="AJ822" s="243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5" t="s">
        <v>43</v>
      </c>
      <c r="D823" s="2366"/>
      <c r="E823" s="2366"/>
      <c r="F823" s="2366"/>
      <c r="G823" s="2366"/>
      <c r="H823" s="2366"/>
      <c r="I823" s="80"/>
      <c r="J823" s="80"/>
      <c r="K823" s="80"/>
      <c r="L823" s="81"/>
      <c r="M823" s="2270">
        <v>10</v>
      </c>
      <c r="N823" s="2270"/>
      <c r="O823" s="2270"/>
      <c r="P823" s="2270"/>
      <c r="Q823" s="2270"/>
      <c r="R823" s="2270"/>
      <c r="S823" s="2270"/>
      <c r="T823" s="2270"/>
      <c r="U823" s="2270"/>
      <c r="V823" s="2270"/>
      <c r="W823" s="2270"/>
      <c r="X823" s="2270"/>
      <c r="Y823" s="2270"/>
      <c r="Z823" s="2270"/>
      <c r="AA823" s="2270"/>
      <c r="AB823" s="2270"/>
      <c r="AC823" s="2265"/>
      <c r="AD823" s="2266"/>
      <c r="AE823" s="2266"/>
      <c r="AF823" s="2267"/>
      <c r="AG823" s="2265"/>
      <c r="AH823" s="2266"/>
      <c r="AI823" s="2266"/>
      <c r="AJ823" s="22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1">
        <v>238133</v>
      </c>
      <c r="BQ823" s="511">
        <v>274565</v>
      </c>
      <c r="BR823" s="511">
        <v>331200</v>
      </c>
      <c r="BS823" s="511">
        <v>423936</v>
      </c>
      <c r="BT823" s="511">
        <v>472291</v>
      </c>
      <c r="BU823" s="56"/>
      <c r="BV823" s="36" t="s">
        <v>216</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65"/>
      <c r="AD824" s="2266"/>
      <c r="AE824" s="2266"/>
      <c r="AF824" s="2267"/>
      <c r="AG824" s="2265"/>
      <c r="AH824" s="2266"/>
      <c r="AI824" s="2266"/>
      <c r="AJ824" s="22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9">
        <v>238133</v>
      </c>
      <c r="BQ824" s="509">
        <v>274565</v>
      </c>
      <c r="BR824" s="509">
        <v>331200</v>
      </c>
      <c r="BS824" s="509">
        <v>423936</v>
      </c>
      <c r="BT824" s="509">
        <v>472291</v>
      </c>
      <c r="BU824" s="56"/>
      <c r="BV824" s="36" t="s">
        <v>218</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70">
        <v>4</v>
      </c>
      <c r="N825" s="2270"/>
      <c r="O825" s="2270"/>
      <c r="P825" s="2270"/>
      <c r="Q825" s="2270"/>
      <c r="R825" s="2270"/>
      <c r="S825" s="2270"/>
      <c r="T825" s="2270"/>
      <c r="U825" s="2270"/>
      <c r="V825" s="2270"/>
      <c r="W825" s="2270"/>
      <c r="X825" s="2270"/>
      <c r="Y825" s="2270"/>
      <c r="Z825" s="2270"/>
      <c r="AA825" s="2270"/>
      <c r="AB825" s="2270"/>
      <c r="AC825" s="2265"/>
      <c r="AD825" s="2266"/>
      <c r="AE825" s="2266"/>
      <c r="AF825" s="2267"/>
      <c r="AG825" s="2265"/>
      <c r="AH825" s="2266"/>
      <c r="AI825" s="2266"/>
      <c r="AJ825" s="22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1">
        <v>262291</v>
      </c>
      <c r="BQ825" s="511">
        <v>302419</v>
      </c>
      <c r="BR825" s="511">
        <v>364800</v>
      </c>
      <c r="BS825" s="511">
        <v>466944</v>
      </c>
      <c r="BT825" s="511">
        <v>520205</v>
      </c>
      <c r="BU825" s="56"/>
      <c r="BV825" s="36" t="s">
        <v>219</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819</v>
      </c>
      <c r="D826" s="2071"/>
      <c r="E826" s="2071"/>
      <c r="F826" s="2071"/>
      <c r="G826" s="2071"/>
      <c r="H826" s="2071"/>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65"/>
      <c r="AD826" s="2266"/>
      <c r="AE826" s="2266"/>
      <c r="AF826" s="2267"/>
      <c r="AG826" s="2265"/>
      <c r="AH826" s="2266"/>
      <c r="AI826" s="2266"/>
      <c r="AJ826" s="22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9">
        <v>262291</v>
      </c>
      <c r="BQ826" s="509">
        <v>302419</v>
      </c>
      <c r="BR826" s="509">
        <v>364800</v>
      </c>
      <c r="BS826" s="509">
        <v>466944</v>
      </c>
      <c r="BT826" s="509">
        <v>520205</v>
      </c>
      <c r="BU826" s="56"/>
      <c r="BV826" s="36" t="s">
        <v>221</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491</v>
      </c>
      <c r="D827" s="2071"/>
      <c r="E827" s="2071"/>
      <c r="F827" s="2071"/>
      <c r="G827" s="2071"/>
      <c r="H827" s="2071"/>
      <c r="I827" s="96"/>
      <c r="J827" s="96"/>
      <c r="K827" s="96"/>
      <c r="L827" s="97"/>
      <c r="M827" s="2270">
        <v>14</v>
      </c>
      <c r="N827" s="2270"/>
      <c r="O827" s="2270"/>
      <c r="P827" s="2270"/>
      <c r="Q827" s="2270"/>
      <c r="R827" s="2270"/>
      <c r="S827" s="2270"/>
      <c r="T827" s="2270"/>
      <c r="U827" s="2270"/>
      <c r="V827" s="2270"/>
      <c r="W827" s="2270"/>
      <c r="X827" s="2270"/>
      <c r="Y827" s="2270"/>
      <c r="Z827" s="2270"/>
      <c r="AA827" s="2270"/>
      <c r="AB827" s="2270"/>
      <c r="AC827" s="2265"/>
      <c r="AD827" s="2266"/>
      <c r="AE827" s="2266"/>
      <c r="AF827" s="2267"/>
      <c r="AG827" s="2265"/>
      <c r="AH827" s="2266"/>
      <c r="AI827" s="2266"/>
      <c r="AJ827" s="22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1">
        <v>327289</v>
      </c>
      <c r="BQ827" s="511">
        <v>377361</v>
      </c>
      <c r="BR827" s="511">
        <v>455200</v>
      </c>
      <c r="BS827" s="511">
        <v>582656</v>
      </c>
      <c r="BT827" s="511">
        <v>649115</v>
      </c>
      <c r="BU827" s="56"/>
      <c r="BV827" s="36" t="s">
        <v>222</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840</v>
      </c>
      <c r="D828" s="2071"/>
      <c r="E828" s="2071"/>
      <c r="F828" s="2071"/>
      <c r="G828" s="2071"/>
      <c r="H828" s="2071"/>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65"/>
      <c r="AD828" s="2266"/>
      <c r="AE828" s="2266"/>
      <c r="AF828" s="2267"/>
      <c r="AG828" s="2265"/>
      <c r="AH828" s="2266"/>
      <c r="AI828" s="2266"/>
      <c r="AJ828" s="22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9">
        <v>238133</v>
      </c>
      <c r="BQ828" s="509">
        <v>274565</v>
      </c>
      <c r="BR828" s="509">
        <v>331200</v>
      </c>
      <c r="BS828" s="509">
        <v>423936</v>
      </c>
      <c r="BT828" s="509">
        <v>472291</v>
      </c>
      <c r="BU828" s="56"/>
      <c r="BV828" s="36" t="s">
        <v>224</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87" t="s">
        <v>2624</v>
      </c>
      <c r="G829" s="2288"/>
      <c r="H829" s="2288"/>
      <c r="I829" s="2288"/>
      <c r="J829" s="2288"/>
      <c r="K829" s="2288"/>
      <c r="L829" s="2289"/>
      <c r="M829" s="2270">
        <v>2</v>
      </c>
      <c r="N829" s="2270"/>
      <c r="O829" s="2270"/>
      <c r="P829" s="2270"/>
      <c r="Q829" s="2270"/>
      <c r="R829" s="2270"/>
      <c r="S829" s="2270"/>
      <c r="T829" s="2270"/>
      <c r="U829" s="2270"/>
      <c r="V829" s="2270"/>
      <c r="W829" s="2270"/>
      <c r="X829" s="2270"/>
      <c r="Y829" s="2270"/>
      <c r="Z829" s="2270"/>
      <c r="AA829" s="2270"/>
      <c r="AB829" s="2270"/>
      <c r="AC829" s="2265"/>
      <c r="AD829" s="2266"/>
      <c r="AE829" s="2266"/>
      <c r="AF829" s="2267"/>
      <c r="AG829" s="2265"/>
      <c r="AH829" s="2266"/>
      <c r="AI829" s="2266"/>
      <c r="AJ829" s="22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1">
        <v>299104</v>
      </c>
      <c r="BQ829" s="511">
        <v>344864</v>
      </c>
      <c r="BR829" s="511">
        <v>416000</v>
      </c>
      <c r="BS829" s="511">
        <v>532480</v>
      </c>
      <c r="BT829" s="511">
        <v>593216</v>
      </c>
      <c r="BU829" s="56"/>
      <c r="BV829" s="36" t="s">
        <v>225</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286">
        <f>SUM(M823:P829)</f>
        <v>30</v>
      </c>
      <c r="N830" s="2286"/>
      <c r="O830" s="2286"/>
      <c r="P830" s="2286"/>
      <c r="Q830" s="2286">
        <f>SUM(Q823:T829)</f>
        <v>0</v>
      </c>
      <c r="R830" s="2286"/>
      <c r="S830" s="2286"/>
      <c r="T830" s="2286"/>
      <c r="U830" s="2286">
        <f>SUM(U823:X829)</f>
        <v>0</v>
      </c>
      <c r="V830" s="2286"/>
      <c r="W830" s="2286"/>
      <c r="X830" s="2286"/>
      <c r="Y830" s="2286">
        <f>SUM(Y823:AB829)</f>
        <v>0</v>
      </c>
      <c r="Z830" s="2286"/>
      <c r="AA830" s="2286"/>
      <c r="AB830" s="2286"/>
      <c r="AC830" s="2286">
        <f>SUM(AC823:AF829)</f>
        <v>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9">
        <v>262291</v>
      </c>
      <c r="BQ830" s="509">
        <v>302419</v>
      </c>
      <c r="BR830" s="509">
        <v>364800</v>
      </c>
      <c r="BS830" s="509">
        <v>466944</v>
      </c>
      <c r="BT830" s="509">
        <v>520205</v>
      </c>
      <c r="BU830" s="56"/>
      <c r="BV830" s="36" t="s">
        <v>226</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1">
        <v>262291</v>
      </c>
      <c r="BQ831" s="511">
        <v>302419</v>
      </c>
      <c r="BR831" s="511">
        <v>364800</v>
      </c>
      <c r="BS831" s="511">
        <v>466944</v>
      </c>
      <c r="BT831" s="511">
        <v>520205</v>
      </c>
      <c r="BU831" s="56"/>
      <c r="BV831" s="36" t="s">
        <v>227</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9">
        <v>238133</v>
      </c>
      <c r="BQ832" s="509">
        <v>274565</v>
      </c>
      <c r="BR832" s="509">
        <v>331200</v>
      </c>
      <c r="BS832" s="509">
        <v>423936</v>
      </c>
      <c r="BT832" s="509">
        <v>472291</v>
      </c>
      <c r="BU832" s="56"/>
      <c r="BV832" s="36" t="s">
        <v>229</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1">
        <v>262291</v>
      </c>
      <c r="BQ833" s="511">
        <v>302419</v>
      </c>
      <c r="BR833" s="511">
        <v>364800</v>
      </c>
      <c r="BS833" s="511">
        <v>466944</v>
      </c>
      <c r="BT833" s="511">
        <v>520205</v>
      </c>
      <c r="BU833" s="56"/>
      <c r="BV833" s="36" t="s">
        <v>230</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9">
        <v>262291</v>
      </c>
      <c r="BQ834" s="509">
        <v>302419</v>
      </c>
      <c r="BR834" s="509">
        <v>364800</v>
      </c>
      <c r="BS834" s="509">
        <v>466944</v>
      </c>
      <c r="BT834" s="509">
        <v>520205</v>
      </c>
      <c r="BU834" s="56"/>
      <c r="BV834" s="36" t="s">
        <v>231</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8" t="s">
        <v>2625</v>
      </c>
      <c r="D835" s="2349"/>
      <c r="E835" s="2349"/>
      <c r="F835" s="2349"/>
      <c r="G835" s="2349"/>
      <c r="H835" s="2349"/>
      <c r="I835" s="2349"/>
      <c r="J835" s="2349"/>
      <c r="K835" s="2349"/>
      <c r="L835" s="2349"/>
      <c r="M835" s="2349"/>
      <c r="N835" s="2349"/>
      <c r="O835" s="2349"/>
      <c r="P835" s="2349"/>
      <c r="Q835" s="2349"/>
      <c r="R835" s="2349"/>
      <c r="S835" s="2349"/>
      <c r="T835" s="2349"/>
      <c r="U835" s="2349"/>
      <c r="V835" s="2349"/>
      <c r="W835" s="2349"/>
      <c r="X835" s="2349"/>
      <c r="Y835" s="2349"/>
      <c r="Z835" s="2349"/>
      <c r="AA835" s="2349"/>
      <c r="AB835" s="2349"/>
      <c r="AC835" s="2349"/>
      <c r="AD835" s="2349"/>
      <c r="AE835" s="2349"/>
      <c r="AF835" s="2349"/>
      <c r="AG835" s="2349"/>
      <c r="AH835" s="2349"/>
      <c r="AI835" s="2349"/>
      <c r="AJ835" s="235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1">
        <v>303706</v>
      </c>
      <c r="BQ835" s="511">
        <v>350170</v>
      </c>
      <c r="BR835" s="511">
        <v>422400</v>
      </c>
      <c r="BS835" s="511">
        <v>540672</v>
      </c>
      <c r="BT835" s="511">
        <v>602342</v>
      </c>
      <c r="BU835" s="56"/>
      <c r="BV835" s="36" t="s">
        <v>233</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9">
        <v>299104</v>
      </c>
      <c r="BQ836" s="509">
        <v>344864</v>
      </c>
      <c r="BR836" s="509">
        <v>416000</v>
      </c>
      <c r="BS836" s="509">
        <v>532480</v>
      </c>
      <c r="BT836" s="509">
        <v>593216</v>
      </c>
      <c r="BU836" s="56"/>
      <c r="BV836" s="36" t="s">
        <v>235</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1">
        <v>262291</v>
      </c>
      <c r="BQ837" s="511">
        <v>302419</v>
      </c>
      <c r="BR837" s="511">
        <v>364800</v>
      </c>
      <c r="BS837" s="511">
        <v>466944</v>
      </c>
      <c r="BT837" s="511">
        <v>520205</v>
      </c>
      <c r="BU837" s="56"/>
      <c r="BV837" s="36" t="s">
        <v>236</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9">
        <v>279547</v>
      </c>
      <c r="BQ838" s="509">
        <v>322315</v>
      </c>
      <c r="BR838" s="509">
        <v>388800</v>
      </c>
      <c r="BS838" s="509">
        <v>497664</v>
      </c>
      <c r="BT838" s="509">
        <v>554429</v>
      </c>
      <c r="BU838" s="56"/>
      <c r="BV838" s="36" t="s">
        <v>237</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1">
        <v>278397</v>
      </c>
      <c r="BQ839" s="511">
        <v>320989</v>
      </c>
      <c r="BR839" s="511">
        <v>387200</v>
      </c>
      <c r="BS839" s="511">
        <v>495616</v>
      </c>
      <c r="BT839" s="511">
        <v>552147</v>
      </c>
      <c r="BU839" s="56"/>
      <c r="BV839" s="36" t="s">
        <v>238</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8">
        <v>2937</v>
      </c>
      <c r="X840" s="2138"/>
      <c r="Y840" s="2138"/>
      <c r="Z840" s="2138"/>
      <c r="AA840" s="2138"/>
      <c r="AB840" s="2138"/>
      <c r="AC840" s="21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9">
        <v>262291</v>
      </c>
      <c r="BQ840" s="509">
        <v>302419</v>
      </c>
      <c r="BR840" s="509">
        <v>364800</v>
      </c>
      <c r="BS840" s="509">
        <v>466944</v>
      </c>
      <c r="BT840" s="509">
        <v>520205</v>
      </c>
      <c r="BU840" s="56"/>
      <c r="BV840" s="36" t="s">
        <v>240</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8">
        <v>10000</v>
      </c>
      <c r="X841" s="2138"/>
      <c r="Y841" s="2138"/>
      <c r="Z841" s="2138"/>
      <c r="AA841" s="2138"/>
      <c r="AB841" s="2138"/>
      <c r="AC841" s="21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1">
        <v>228930</v>
      </c>
      <c r="BQ841" s="511">
        <v>263954</v>
      </c>
      <c r="BR841" s="511">
        <v>318400</v>
      </c>
      <c r="BS841" s="511">
        <v>407552</v>
      </c>
      <c r="BT841" s="511">
        <v>454038</v>
      </c>
      <c r="BU841" s="56"/>
      <c r="BV841" s="36" t="s">
        <v>241</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8">
        <v>12000</v>
      </c>
      <c r="X842" s="2138"/>
      <c r="Y842" s="2138"/>
      <c r="Z842" s="2138"/>
      <c r="AA842" s="2138"/>
      <c r="AB842" s="2138"/>
      <c r="AC842" s="21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8">
        <v>95000</v>
      </c>
      <c r="X843" s="2138"/>
      <c r="Y843" s="2138"/>
      <c r="Z843" s="2138"/>
      <c r="AA843" s="2138"/>
      <c r="AB843" s="2138"/>
      <c r="AC843" s="21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87" t="s">
        <v>2626</v>
      </c>
      <c r="N844" s="2288"/>
      <c r="O844" s="2288"/>
      <c r="P844" s="2288"/>
      <c r="Q844" s="2288"/>
      <c r="R844" s="2288"/>
      <c r="S844" s="2288"/>
      <c r="T844" s="2288"/>
      <c r="U844" s="2288"/>
      <c r="V844" s="2289"/>
      <c r="W844" s="2138">
        <v>37032</v>
      </c>
      <c r="X844" s="2138"/>
      <c r="Y844" s="2138"/>
      <c r="Z844" s="2138"/>
      <c r="AA844" s="2138"/>
      <c r="AB844" s="2138"/>
      <c r="AC844" s="21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3">
        <f>ROUNDDOWN(BC932*2,2)</f>
        <v>0</v>
      </c>
      <c r="BJ844" s="2403"/>
      <c r="BK844" s="2403"/>
      <c r="BL844" s="2403"/>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0">
        <f>SUM(W840:AC844)</f>
        <v>156969</v>
      </c>
      <c r="X845" s="2141"/>
      <c r="Y845" s="2141"/>
      <c r="Z845" s="2141"/>
      <c r="AA845" s="2141"/>
      <c r="AB845" s="2141"/>
      <c r="AC845" s="214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7" t="s">
        <v>354</v>
      </c>
      <c r="K847" s="2188"/>
      <c r="L847" s="2188"/>
      <c r="M847" s="2188"/>
      <c r="N847" s="2188"/>
      <c r="O847" s="2188"/>
      <c r="P847" s="2188"/>
      <c r="Q847" s="2188"/>
      <c r="R847" s="2188"/>
      <c r="S847" s="2188"/>
      <c r="T847" s="2188"/>
      <c r="U847" s="2188"/>
      <c r="V847" s="2190"/>
      <c r="W847" s="2034">
        <f>720*88</f>
        <v>63360</v>
      </c>
      <c r="X847" s="2035"/>
      <c r="Y847" s="2035"/>
      <c r="Z847" s="2035"/>
      <c r="AA847" s="2035"/>
      <c r="AB847" s="2035"/>
      <c r="AC847" s="2036"/>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1">
        <v>238133</v>
      </c>
      <c r="BQ847" s="511">
        <v>274565</v>
      </c>
      <c r="BR847" s="511">
        <v>331200</v>
      </c>
      <c r="BS847" s="511">
        <v>423936</v>
      </c>
      <c r="BT847" s="511">
        <v>472291</v>
      </c>
      <c r="BU847" s="56"/>
      <c r="BV847" s="36" t="s">
        <v>247</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9">
        <v>303706</v>
      </c>
      <c r="BQ848" s="509">
        <v>350170</v>
      </c>
      <c r="BR848" s="509">
        <v>422400</v>
      </c>
      <c r="BS848" s="509">
        <v>540672</v>
      </c>
      <c r="BT848" s="509">
        <v>602342</v>
      </c>
      <c r="BU848" s="56"/>
      <c r="BV848" s="36" t="s">
        <v>248</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90"/>
      <c r="X849" s="2290"/>
      <c r="Y849" s="2290"/>
      <c r="Z849" s="2290"/>
      <c r="AA849" s="2290"/>
      <c r="AB849" s="2290"/>
      <c r="AC849" s="229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0">
        <v>440028</v>
      </c>
      <c r="BQ849" s="510">
        <v>507348</v>
      </c>
      <c r="BR849" s="511">
        <v>612000</v>
      </c>
      <c r="BS849" s="510">
        <v>783360</v>
      </c>
      <c r="BT849" s="510">
        <v>872712</v>
      </c>
      <c r="BU849" s="56"/>
      <c r="BV849" s="36" t="s">
        <v>249</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0">
        <v>12500</v>
      </c>
      <c r="X850" s="2290"/>
      <c r="Y850" s="2290"/>
      <c r="Z850" s="2290"/>
      <c r="AA850" s="2290"/>
      <c r="AB850" s="2290"/>
      <c r="AC850" s="229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0">
        <v>40000</v>
      </c>
      <c r="X851" s="2290"/>
      <c r="Y851" s="2290"/>
      <c r="Z851" s="2290"/>
      <c r="AA851" s="2290"/>
      <c r="AB851" s="2290"/>
      <c r="AC851" s="229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0">
        <v>42500</v>
      </c>
      <c r="X852" s="2290"/>
      <c r="Y852" s="2290"/>
      <c r="Z852" s="2290"/>
      <c r="AA852" s="2290"/>
      <c r="AB852" s="2290"/>
      <c r="AC852" s="229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5">
        <f>SUM(W849:AC852)</f>
        <v>95000</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2">
        <f>SUM(AZ821:AZ849)</f>
        <v>7.5000000000000011E-2</v>
      </c>
      <c r="BA854" s="2312"/>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3">
        <v>110000</v>
      </c>
      <c r="X855" s="2144"/>
      <c r="Y855" s="2144"/>
      <c r="Z855" s="2144"/>
      <c r="AA855" s="2144"/>
      <c r="AB855" s="2144"/>
      <c r="AC855" s="2145"/>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356</v>
      </c>
      <c r="D856" s="718"/>
      <c r="E856" s="718"/>
      <c r="F856" s="718"/>
      <c r="G856" s="718"/>
      <c r="H856" s="718"/>
      <c r="I856" s="718"/>
      <c r="J856" s="185" t="s">
        <v>2006</v>
      </c>
      <c r="K856" s="77"/>
      <c r="L856" s="77"/>
      <c r="M856" s="77"/>
      <c r="N856" s="77"/>
      <c r="O856" s="77"/>
      <c r="P856" s="77"/>
      <c r="Q856" s="77"/>
      <c r="R856" s="77"/>
      <c r="S856" s="77"/>
      <c r="T856" s="2355">
        <v>2</v>
      </c>
      <c r="U856" s="2192"/>
      <c r="V856" s="2356"/>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3">
        <v>80360</v>
      </c>
      <c r="X857" s="2144"/>
      <c r="Y857" s="2144"/>
      <c r="Z857" s="2144"/>
      <c r="AA857" s="2144"/>
      <c r="AB857" s="2144"/>
      <c r="AC857" s="2145"/>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2007</v>
      </c>
      <c r="K858" s="77"/>
      <c r="L858" s="77"/>
      <c r="M858" s="77"/>
      <c r="N858" s="77"/>
      <c r="O858" s="77"/>
      <c r="P858" s="77"/>
      <c r="Q858" s="77"/>
      <c r="R858" s="77"/>
      <c r="S858" s="77"/>
      <c r="T858" s="2355"/>
      <c r="U858" s="2192"/>
      <c r="V858" s="2356"/>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87" t="s">
        <v>2627</v>
      </c>
      <c r="N859" s="2288"/>
      <c r="O859" s="2288"/>
      <c r="P859" s="2288"/>
      <c r="Q859" s="2288"/>
      <c r="R859" s="2288"/>
      <c r="S859" s="2288"/>
      <c r="T859" s="2288"/>
      <c r="U859" s="2288"/>
      <c r="V859" s="2289"/>
      <c r="W859" s="2143">
        <v>85608</v>
      </c>
      <c r="X859" s="2144"/>
      <c r="Y859" s="2144"/>
      <c r="Z859" s="2144"/>
      <c r="AA859" s="2144"/>
      <c r="AB859" s="2144"/>
      <c r="AC859" s="2145"/>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34">
        <f>SUM(W855:AC859)</f>
        <v>275968</v>
      </c>
      <c r="X860" s="2435"/>
      <c r="Y860" s="2435"/>
      <c r="Z860" s="2435"/>
      <c r="AA860" s="2435"/>
      <c r="AB860" s="2435"/>
      <c r="AC860" s="2436"/>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3">
        <v>62300</v>
      </c>
      <c r="X861" s="2144"/>
      <c r="Y861" s="2144"/>
      <c r="Z861" s="2144"/>
      <c r="AA861" s="2144"/>
      <c r="AB861" s="2144"/>
      <c r="AC861" s="2145"/>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8"/>
      <c r="X863" s="2138"/>
      <c r="Y863" s="2138"/>
      <c r="Z863" s="2138"/>
      <c r="AA863" s="2138"/>
      <c r="AB863" s="2138"/>
      <c r="AC863" s="2138"/>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8">
        <v>14863</v>
      </c>
      <c r="X864" s="2138"/>
      <c r="Y864" s="2138"/>
      <c r="Z864" s="2138"/>
      <c r="AA864" s="2138"/>
      <c r="AB864" s="2138"/>
      <c r="AC864" s="2138"/>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8">
        <v>15000</v>
      </c>
      <c r="X865" s="2138"/>
      <c r="Y865" s="2138"/>
      <c r="Z865" s="2138"/>
      <c r="AA865" s="2138"/>
      <c r="AB865" s="2138"/>
      <c r="AC865" s="2138"/>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8"/>
      <c r="X866" s="2138"/>
      <c r="Y866" s="2138"/>
      <c r="Z866" s="2138"/>
      <c r="AA866" s="2138"/>
      <c r="AB866" s="2138"/>
      <c r="AC866" s="2138"/>
      <c r="AZ866" s="61"/>
      <c r="BA866" s="61"/>
      <c r="BB866" s="61"/>
      <c r="BC866" s="61"/>
      <c r="BD866" s="61"/>
      <c r="BE866" s="61"/>
      <c r="BF866" s="61"/>
      <c r="BG866" s="61"/>
      <c r="BH866" s="61"/>
      <c r="BI866" s="61"/>
      <c r="BJ866" s="61"/>
      <c r="BK866" s="61"/>
      <c r="BL866" s="61"/>
      <c r="BM866" s="61"/>
      <c r="BN866" s="61"/>
      <c r="BO866" s="36" t="s">
        <v>334</v>
      </c>
      <c r="BP866" s="509">
        <v>278397</v>
      </c>
      <c r="BQ866" s="509">
        <v>320989</v>
      </c>
      <c r="BR866" s="509">
        <v>387200</v>
      </c>
      <c r="BS866" s="509">
        <v>495616</v>
      </c>
      <c r="BT866" s="509">
        <v>552147</v>
      </c>
      <c r="BU866" s="56"/>
      <c r="BV866" s="36" t="s">
        <v>334</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8">
        <v>17800</v>
      </c>
      <c r="X867" s="2138"/>
      <c r="Y867" s="2138"/>
      <c r="Z867" s="2138"/>
      <c r="AA867" s="2138"/>
      <c r="AB867" s="2138"/>
      <c r="AC867" s="21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8"/>
      <c r="X868" s="2138"/>
      <c r="Y868" s="2138"/>
      <c r="Z868" s="2138"/>
      <c r="AA868" s="2138"/>
      <c r="AB868" s="2138"/>
      <c r="AC868" s="21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87" t="s">
        <v>2628</v>
      </c>
      <c r="N869" s="2288"/>
      <c r="O869" s="2288"/>
      <c r="P869" s="2288"/>
      <c r="Q869" s="2288"/>
      <c r="R869" s="2288"/>
      <c r="S869" s="2288"/>
      <c r="T869" s="2288"/>
      <c r="U869" s="2288"/>
      <c r="V869" s="2289"/>
      <c r="W869" s="2138">
        <v>66750</v>
      </c>
      <c r="X869" s="2138"/>
      <c r="Y869" s="2138"/>
      <c r="Z869" s="2138"/>
      <c r="AA869" s="2138"/>
      <c r="AB869" s="2138"/>
      <c r="AC869" s="2138"/>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9">
        <f>SUM(W863:AC869)</f>
        <v>114413</v>
      </c>
      <c r="X870" s="2139"/>
      <c r="Y870" s="2139"/>
      <c r="Z870" s="2139"/>
      <c r="AA870" s="2139"/>
      <c r="AB870" s="2139"/>
      <c r="AC870" s="213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87" t="s">
        <v>2630</v>
      </c>
      <c r="N872" s="2288"/>
      <c r="O872" s="2288"/>
      <c r="P872" s="2288"/>
      <c r="Q872" s="2288"/>
      <c r="R872" s="2288"/>
      <c r="S872" s="2288"/>
      <c r="T872" s="2288"/>
      <c r="U872" s="2288"/>
      <c r="V872" s="2289"/>
      <c r="W872" s="2034">
        <v>3855</v>
      </c>
      <c r="X872" s="2035"/>
      <c r="Y872" s="2035"/>
      <c r="Z872" s="2035"/>
      <c r="AA872" s="2035"/>
      <c r="AB872" s="2035"/>
      <c r="AC872" s="2036"/>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87" t="s">
        <v>2629</v>
      </c>
      <c r="N873" s="2288"/>
      <c r="O873" s="2288"/>
      <c r="P873" s="2288"/>
      <c r="Q873" s="2288"/>
      <c r="R873" s="2288"/>
      <c r="S873" s="2288"/>
      <c r="T873" s="2288"/>
      <c r="U873" s="2288"/>
      <c r="V873" s="2289"/>
      <c r="W873" s="2034">
        <v>7120</v>
      </c>
      <c r="X873" s="2035"/>
      <c r="Y873" s="2035"/>
      <c r="Z873" s="2035"/>
      <c r="AA873" s="2035"/>
      <c r="AB873" s="2035"/>
      <c r="AC873" s="2036"/>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3" t="s">
        <v>342</v>
      </c>
      <c r="N874" s="2288"/>
      <c r="O874" s="2288"/>
      <c r="P874" s="2288"/>
      <c r="Q874" s="2288"/>
      <c r="R874" s="2288"/>
      <c r="S874" s="2288"/>
      <c r="T874" s="2288"/>
      <c r="U874" s="2288"/>
      <c r="V874" s="2289"/>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3" t="s">
        <v>342</v>
      </c>
      <c r="N875" s="2288"/>
      <c r="O875" s="2288"/>
      <c r="P875" s="2288"/>
      <c r="Q875" s="2288"/>
      <c r="R875" s="2288"/>
      <c r="S875" s="2288"/>
      <c r="T875" s="2288"/>
      <c r="U875" s="2288"/>
      <c r="V875" s="2289"/>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3" t="s">
        <v>342</v>
      </c>
      <c r="N876" s="2288"/>
      <c r="O876" s="2288"/>
      <c r="P876" s="2288"/>
      <c r="Q876" s="2288"/>
      <c r="R876" s="2288"/>
      <c r="S876" s="2288"/>
      <c r="T876" s="2288"/>
      <c r="U876" s="2288"/>
      <c r="V876" s="2289"/>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0">
        <f>SUM(W872:AC876)</f>
        <v>10975</v>
      </c>
      <c r="X877" s="2141"/>
      <c r="Y877" s="2141"/>
      <c r="Z877" s="2141"/>
      <c r="AA877" s="2141"/>
      <c r="AB877" s="2141"/>
      <c r="AC877" s="214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41">
        <f>W845+W853+W860+W861+W870+W877+W847</f>
        <v>778985</v>
      </c>
      <c r="AD881" s="2141"/>
      <c r="AE881" s="2141"/>
      <c r="AF881" s="2141"/>
      <c r="AG881" s="2141"/>
      <c r="AH881" s="214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53">
        <f>O796+O776+G753</f>
        <v>89</v>
      </c>
      <c r="AD882" s="2353"/>
      <c r="AE882" s="2353"/>
      <c r="AF882" s="2353"/>
      <c r="AG882" s="2353"/>
      <c r="AH882" s="235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1" t="s">
        <v>33</v>
      </c>
      <c r="F883" s="2351"/>
      <c r="G883" s="2351"/>
      <c r="H883" s="2351"/>
      <c r="I883" s="2351"/>
      <c r="J883" s="2351"/>
      <c r="K883" s="2351"/>
      <c r="L883" s="2351"/>
      <c r="M883" s="2351"/>
      <c r="N883" s="2351"/>
      <c r="O883" s="2351"/>
      <c r="P883" s="2351"/>
      <c r="Q883" s="2351"/>
      <c r="R883" s="2351"/>
      <c r="S883" s="2351"/>
      <c r="T883" s="2351"/>
      <c r="U883" s="2351"/>
      <c r="V883" s="2351"/>
      <c r="W883" s="2351"/>
      <c r="X883" s="2351"/>
      <c r="Y883" s="2351"/>
      <c r="Z883" s="2351"/>
      <c r="AA883" s="2351"/>
      <c r="AB883" s="2352"/>
      <c r="AC883" s="2139">
        <f>IF(ISERROR((ROUNDDOWN(AC881/AC882,0))),0,(ROUNDDOWN(AC881/AC882,0)))</f>
        <v>8752</v>
      </c>
      <c r="AD883" s="2139"/>
      <c r="AE883" s="2139"/>
      <c r="AF883" s="2139"/>
      <c r="AG883" s="2139"/>
      <c r="AH883" s="213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291">
        <v>304660</v>
      </c>
      <c r="AD884" s="2292"/>
      <c r="AE884" s="2292"/>
      <c r="AF884" s="2292"/>
      <c r="AG884" s="2292"/>
      <c r="AH884" s="22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6"/>
      <c r="AD885" s="2138"/>
      <c r="AE885" s="2138"/>
      <c r="AF885" s="2138"/>
      <c r="AG885" s="2138"/>
      <c r="AH885" s="21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5">
        <v>8800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5">
        <v>44500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265"/>
      <c r="AD888" s="2266"/>
      <c r="AE888" s="2266"/>
      <c r="AF888" s="2266"/>
      <c r="AG888" s="2266"/>
      <c r="AH888" s="22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5">
        <v>4717</v>
      </c>
      <c r="AD889" s="2035"/>
      <c r="AE889" s="2035"/>
      <c r="AF889" s="2035"/>
      <c r="AG889" s="2035"/>
      <c r="AH889" s="2036"/>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1"/>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8"/>
      <c r="AD891" s="2138"/>
      <c r="AE891" s="2138"/>
      <c r="AF891" s="2138"/>
      <c r="AG891" s="2138"/>
      <c r="AH891" s="21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1"/>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8"/>
      <c r="AD892" s="2138"/>
      <c r="AE892" s="2138"/>
      <c r="AF892" s="2138"/>
      <c r="AG892" s="2138"/>
      <c r="AH892" s="21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0">
        <f>Z896-(Z897+Z898)</f>
        <v>0</v>
      </c>
      <c r="AA899" s="2141"/>
      <c r="AB899" s="2141"/>
      <c r="AC899" s="2141"/>
      <c r="AD899" s="2141"/>
      <c r="AE899" s="2142"/>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7"/>
      <c r="BE901" s="2317"/>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9"/>
      <c r="BE902" s="2319"/>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8"/>
      <c r="BE903" s="2318"/>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8"/>
      <c r="BE904" s="2318"/>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8"/>
      <c r="BE905" s="2318"/>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7"/>
      <c r="BE906" s="2318"/>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6"/>
      <c r="BD907" s="2316"/>
      <c r="BE907" s="2316"/>
      <c r="BF907" s="2316"/>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6"/>
      <c r="BD908" s="2311"/>
      <c r="BE908" s="2311"/>
      <c r="BF908" s="2311"/>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8"/>
      <c r="BE909" s="2318"/>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7"/>
      <c r="BE910" s="2318"/>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7" t="s">
        <v>849</v>
      </c>
      <c r="G912" s="2508"/>
      <c r="H912" s="2508"/>
      <c r="I912" s="2508"/>
      <c r="J912" s="2508"/>
      <c r="K912" s="2508"/>
      <c r="L912" s="2508"/>
      <c r="M912" s="2508"/>
      <c r="N912" s="2508"/>
      <c r="O912" s="2508"/>
      <c r="P912" s="2508"/>
      <c r="Q912" s="2508"/>
      <c r="R912" s="2508"/>
      <c r="S912" s="2508"/>
      <c r="T912" s="2509"/>
      <c r="U912" s="2258" t="s">
        <v>32</v>
      </c>
      <c r="V912" s="2168"/>
      <c r="W912" s="2168"/>
      <c r="X912" s="2168"/>
      <c r="Y912" s="2168"/>
      <c r="Z912" s="2168"/>
      <c r="AA912" s="73"/>
      <c r="AB912" s="161"/>
      <c r="AC912" s="161"/>
      <c r="AD912" s="161"/>
      <c r="AE912" s="161"/>
      <c r="AF912" s="162"/>
      <c r="AZ912" s="61"/>
      <c r="BA912" s="1605"/>
      <c r="BB912" s="127"/>
      <c r="BC912" s="127"/>
      <c r="BD912" s="2317"/>
      <c r="BE912" s="2318"/>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9" t="s">
        <v>878</v>
      </c>
      <c r="G913" s="2260"/>
      <c r="H913" s="2260"/>
      <c r="I913" s="2260"/>
      <c r="J913" s="2260"/>
      <c r="K913" s="2260"/>
      <c r="L913" s="2260"/>
      <c r="M913" s="2260"/>
      <c r="N913" s="2260"/>
      <c r="O913" s="2260"/>
      <c r="P913" s="2260"/>
      <c r="Q913" s="2260"/>
      <c r="R913" s="2260"/>
      <c r="S913" s="2260"/>
      <c r="T913" s="2261"/>
      <c r="U913" s="2259"/>
      <c r="V913" s="2260"/>
      <c r="W913" s="2260"/>
      <c r="X913" s="2260"/>
      <c r="Y913" s="2260"/>
      <c r="Z913" s="2260"/>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62"/>
      <c r="G914" s="2263"/>
      <c r="H914" s="2263"/>
      <c r="I914" s="2263"/>
      <c r="J914" s="2263"/>
      <c r="K914" s="2263"/>
      <c r="L914" s="2263"/>
      <c r="M914" s="2263"/>
      <c r="N914" s="2263"/>
      <c r="O914" s="2263"/>
      <c r="P914" s="2263"/>
      <c r="Q914" s="2263"/>
      <c r="R914" s="2263"/>
      <c r="S914" s="2263"/>
      <c r="T914" s="2264"/>
      <c r="U914" s="2262"/>
      <c r="V914" s="2263"/>
      <c r="W914" s="2263"/>
      <c r="X914" s="2263"/>
      <c r="Y914" s="2263"/>
      <c r="Z914" s="2263"/>
      <c r="AA914" s="164"/>
      <c r="AB914" s="2341" t="s">
        <v>409</v>
      </c>
      <c r="AC914" s="2341"/>
      <c r="AD914" s="2341"/>
      <c r="AE914" s="234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7" t="s">
        <v>577</v>
      </c>
      <c r="V915" s="2060"/>
      <c r="W915" s="2060"/>
      <c r="X915" s="2060"/>
      <c r="Y915" s="2060"/>
      <c r="Z915" s="2061"/>
      <c r="AA915" s="2321">
        <v>23043032</v>
      </c>
      <c r="AB915" s="2322"/>
      <c r="AC915" s="2322"/>
      <c r="AD915" s="2322"/>
      <c r="AE915" s="2322"/>
      <c r="AF915" s="23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7" t="s">
        <v>577</v>
      </c>
      <c r="V916" s="2060"/>
      <c r="W916" s="2060"/>
      <c r="X916" s="2060"/>
      <c r="Y916" s="2060"/>
      <c r="Z916" s="2061"/>
      <c r="AA916" s="2321">
        <v>3232845</v>
      </c>
      <c r="AB916" s="2322"/>
      <c r="AC916" s="2322"/>
      <c r="AD916" s="2322"/>
      <c r="AE916" s="2322"/>
      <c r="AF916" s="23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7" t="s">
        <v>625</v>
      </c>
      <c r="V917" s="2060"/>
      <c r="W917" s="2060"/>
      <c r="X917" s="2060"/>
      <c r="Y917" s="2060"/>
      <c r="Z917" s="2061"/>
      <c r="AA917" s="2321"/>
      <c r="AB917" s="2322"/>
      <c r="AC917" s="2322"/>
      <c r="AD917" s="2322"/>
      <c r="AE917" s="2322"/>
      <c r="AF917" s="23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7" t="s">
        <v>625</v>
      </c>
      <c r="V918" s="2060"/>
      <c r="W918" s="2060"/>
      <c r="X918" s="2060"/>
      <c r="Y918" s="2060"/>
      <c r="Z918" s="2061"/>
      <c r="AA918" s="2321"/>
      <c r="AB918" s="2322"/>
      <c r="AC918" s="2322"/>
      <c r="AD918" s="2322"/>
      <c r="AE918" s="2322"/>
      <c r="AF918" s="23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7" t="s">
        <v>625</v>
      </c>
      <c r="V919" s="2060"/>
      <c r="W919" s="2060"/>
      <c r="X919" s="2060"/>
      <c r="Y919" s="2060"/>
      <c r="Z919" s="2061"/>
      <c r="AA919" s="2321"/>
      <c r="AB919" s="2322"/>
      <c r="AC919" s="2322"/>
      <c r="AD919" s="2322"/>
      <c r="AE919" s="2322"/>
      <c r="AF919" s="23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7" t="s">
        <v>625</v>
      </c>
      <c r="V920" s="2060"/>
      <c r="W920" s="2060"/>
      <c r="X920" s="2060"/>
      <c r="Y920" s="2060"/>
      <c r="Z920" s="2061"/>
      <c r="AA920" s="2321"/>
      <c r="AB920" s="2322"/>
      <c r="AC920" s="2322"/>
      <c r="AD920" s="2322"/>
      <c r="AE920" s="2322"/>
      <c r="AF920" s="23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7" t="s">
        <v>625</v>
      </c>
      <c r="V921" s="2060"/>
      <c r="W921" s="2060"/>
      <c r="X921" s="2060"/>
      <c r="Y921" s="2060"/>
      <c r="Z921" s="2061"/>
      <c r="AA921" s="2321"/>
      <c r="AB921" s="2322"/>
      <c r="AC921" s="2322"/>
      <c r="AD921" s="2322"/>
      <c r="AE921" s="2322"/>
      <c r="AF921" s="23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7" t="s">
        <v>625</v>
      </c>
      <c r="V922" s="2060"/>
      <c r="W922" s="2060"/>
      <c r="X922" s="2060"/>
      <c r="Y922" s="2060"/>
      <c r="Z922" s="2061"/>
      <c r="AA922" s="2321"/>
      <c r="AB922" s="2322"/>
      <c r="AC922" s="2322"/>
      <c r="AD922" s="2322"/>
      <c r="AE922" s="2322"/>
      <c r="AF922" s="23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7" t="s">
        <v>625</v>
      </c>
      <c r="V923" s="2060"/>
      <c r="W923" s="2060"/>
      <c r="X923" s="2060"/>
      <c r="Y923" s="2060"/>
      <c r="Z923" s="2061"/>
      <c r="AA923" s="2321"/>
      <c r="AB923" s="2322"/>
      <c r="AC923" s="2322"/>
      <c r="AD923" s="2322"/>
      <c r="AE923" s="2322"/>
      <c r="AF923" s="23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7" t="s">
        <v>625</v>
      </c>
      <c r="V924" s="2060"/>
      <c r="W924" s="2060"/>
      <c r="X924" s="2060"/>
      <c r="Y924" s="2060"/>
      <c r="Z924" s="2061"/>
      <c r="AA924" s="2321"/>
      <c r="AB924" s="2322"/>
      <c r="AC924" s="2322"/>
      <c r="AD924" s="2322"/>
      <c r="AE924" s="2322"/>
      <c r="AF924" s="23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27" t="s">
        <v>625</v>
      </c>
      <c r="V925" s="2060"/>
      <c r="W925" s="2060"/>
      <c r="X925" s="2060"/>
      <c r="Y925" s="2060"/>
      <c r="Z925" s="2061"/>
      <c r="AA925" s="2321"/>
      <c r="AB925" s="2322"/>
      <c r="AC925" s="2322"/>
      <c r="AD925" s="2322"/>
      <c r="AE925" s="2322"/>
      <c r="AF925" s="23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7" t="s">
        <v>625</v>
      </c>
      <c r="V926" s="2060"/>
      <c r="W926" s="2060"/>
      <c r="X926" s="2060"/>
      <c r="Y926" s="2060"/>
      <c r="Z926" s="2061"/>
      <c r="AA926" s="2321"/>
      <c r="AB926" s="2322"/>
      <c r="AC926" s="2322"/>
      <c r="AD926" s="2322"/>
      <c r="AE926" s="2322"/>
      <c r="AF926" s="23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7" t="s">
        <v>625</v>
      </c>
      <c r="V927" s="2060"/>
      <c r="W927" s="2060"/>
      <c r="X927" s="2060"/>
      <c r="Y927" s="2060"/>
      <c r="Z927" s="2061"/>
      <c r="AA927" s="2321"/>
      <c r="AB927" s="2322"/>
      <c r="AC927" s="2322"/>
      <c r="AD927" s="2322"/>
      <c r="AE927" s="2322"/>
      <c r="AF927" s="23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327" t="s">
        <v>625</v>
      </c>
      <c r="V928" s="2060"/>
      <c r="W928" s="2060"/>
      <c r="X928" s="2060"/>
      <c r="Y928" s="2060"/>
      <c r="Z928" s="2061"/>
      <c r="AA928" s="2321"/>
      <c r="AB928" s="2322"/>
      <c r="AC928" s="2322"/>
      <c r="AD928" s="2322"/>
      <c r="AE928" s="2322"/>
      <c r="AF928" s="23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327" t="s">
        <v>625</v>
      </c>
      <c r="V929" s="2060"/>
      <c r="W929" s="2060"/>
      <c r="X929" s="2060"/>
      <c r="Y929" s="2060"/>
      <c r="Z929" s="2061"/>
      <c r="AA929" s="2321"/>
      <c r="AB929" s="2322"/>
      <c r="AC929" s="2322"/>
      <c r="AD929" s="2322"/>
      <c r="AE929" s="2322"/>
      <c r="AF929" s="23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7" t="s">
        <v>705</v>
      </c>
      <c r="Q930" s="2060"/>
      <c r="R930" s="2060"/>
      <c r="S930" s="2060"/>
      <c r="T930" s="2061"/>
      <c r="U930" s="2327" t="s">
        <v>625</v>
      </c>
      <c r="V930" s="2060"/>
      <c r="W930" s="2060"/>
      <c r="X930" s="2060"/>
      <c r="Y930" s="2060"/>
      <c r="Z930" s="2061"/>
      <c r="AA930" s="2321"/>
      <c r="AB930" s="2322"/>
      <c r="AC930" s="2322"/>
      <c r="AD930" s="2322"/>
      <c r="AE930" s="2322"/>
      <c r="AF930" s="23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4" t="s">
        <v>342</v>
      </c>
      <c r="J931" s="2505"/>
      <c r="K931" s="2505"/>
      <c r="L931" s="2505"/>
      <c r="M931" s="2505"/>
      <c r="N931" s="2505"/>
      <c r="O931" s="2505"/>
      <c r="P931" s="2505"/>
      <c r="Q931" s="2505"/>
      <c r="R931" s="2505"/>
      <c r="S931" s="2505"/>
      <c r="T931" s="2506"/>
      <c r="U931" s="2327" t="s">
        <v>625</v>
      </c>
      <c r="V931" s="2060"/>
      <c r="W931" s="2060"/>
      <c r="X931" s="2060"/>
      <c r="Y931" s="2060"/>
      <c r="Z931" s="2061"/>
      <c r="AA931" s="2321"/>
      <c r="AB931" s="2322"/>
      <c r="AC931" s="2322"/>
      <c r="AD931" s="2322"/>
      <c r="AE931" s="2322"/>
      <c r="AF931" s="23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4" t="s">
        <v>2631</v>
      </c>
      <c r="J932" s="2306"/>
      <c r="K932" s="2306"/>
      <c r="L932" s="2306"/>
      <c r="M932" s="2306"/>
      <c r="N932" s="2306"/>
      <c r="O932" s="2306"/>
      <c r="P932" s="2306"/>
      <c r="Q932" s="2306"/>
      <c r="R932" s="2306"/>
      <c r="S932" s="2306"/>
      <c r="T932" s="2307"/>
      <c r="U932" s="2327" t="s">
        <v>577</v>
      </c>
      <c r="V932" s="2060"/>
      <c r="W932" s="2060"/>
      <c r="X932" s="2060"/>
      <c r="Y932" s="2060"/>
      <c r="Z932" s="2061"/>
      <c r="AA932" s="2321">
        <f>8555556+130923</f>
        <v>8686479</v>
      </c>
      <c r="AB932" s="2322"/>
      <c r="AC932" s="2322"/>
      <c r="AD932" s="2322"/>
      <c r="AE932" s="2322"/>
      <c r="AF932" s="23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64" t="s">
        <v>2632</v>
      </c>
      <c r="J933" s="2306"/>
      <c r="K933" s="2306"/>
      <c r="L933" s="2306"/>
      <c r="M933" s="2306"/>
      <c r="N933" s="2306"/>
      <c r="O933" s="2306"/>
      <c r="P933" s="2306"/>
      <c r="Q933" s="2306"/>
      <c r="R933" s="2306"/>
      <c r="S933" s="2306"/>
      <c r="T933" s="2307"/>
      <c r="U933" s="2331" t="s">
        <v>577</v>
      </c>
      <c r="V933" s="2060"/>
      <c r="W933" s="2060"/>
      <c r="X933" s="2060"/>
      <c r="Y933" s="2060"/>
      <c r="Z933" s="2061"/>
      <c r="AA933" s="2321">
        <v>6020000</v>
      </c>
      <c r="AB933" s="2322"/>
      <c r="AC933" s="2322"/>
      <c r="AD933" s="2322"/>
      <c r="AE933" s="2322"/>
      <c r="AF933" s="23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5" t="s">
        <v>342</v>
      </c>
      <c r="J934" s="2306"/>
      <c r="K934" s="2306"/>
      <c r="L934" s="2306"/>
      <c r="M934" s="2306"/>
      <c r="N934" s="2306"/>
      <c r="O934" s="2306"/>
      <c r="P934" s="2306"/>
      <c r="Q934" s="2306"/>
      <c r="R934" s="2306"/>
      <c r="S934" s="2306"/>
      <c r="T934" s="2307"/>
      <c r="U934" s="2327" t="s">
        <v>625</v>
      </c>
      <c r="V934" s="2060"/>
      <c r="W934" s="2060"/>
      <c r="X934" s="2060"/>
      <c r="Y934" s="2060"/>
      <c r="Z934" s="2061"/>
      <c r="AA934" s="2321"/>
      <c r="AB934" s="2322"/>
      <c r="AC934" s="2322"/>
      <c r="AD934" s="2322"/>
      <c r="AE934" s="2322"/>
      <c r="AF934" s="23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8">
        <v>44330</v>
      </c>
      <c r="N939" s="2339"/>
      <c r="O939" s="2339"/>
      <c r="P939" s="2339"/>
      <c r="Q939" s="2339"/>
      <c r="R939" s="2339"/>
      <c r="S939" s="2340"/>
      <c r="U939" s="103" t="s">
        <v>11</v>
      </c>
      <c r="V939" s="77"/>
      <c r="W939" s="77"/>
      <c r="X939" s="77"/>
      <c r="Y939" s="77"/>
      <c r="Z939" s="77"/>
      <c r="AA939" s="77"/>
      <c r="AB939" s="77"/>
      <c r="AC939" s="77"/>
      <c r="AD939" s="78"/>
      <c r="AE939" s="2338"/>
      <c r="AF939" s="2339"/>
      <c r="AG939" s="2339"/>
      <c r="AH939" s="2339"/>
      <c r="AI939" s="2339"/>
      <c r="AJ939" s="2339"/>
      <c r="AK939" s="234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t="s">
        <v>2633</v>
      </c>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8" t="s">
        <v>2634</v>
      </c>
      <c r="K941" s="2329"/>
      <c r="L941" s="2329"/>
      <c r="M941" s="2329"/>
      <c r="N941" s="2329"/>
      <c r="O941" s="2329"/>
      <c r="P941" s="2329"/>
      <c r="Q941" s="2329"/>
      <c r="R941" s="2329"/>
      <c r="S941" s="2330"/>
      <c r="U941" s="103" t="s">
        <v>944</v>
      </c>
      <c r="V941" s="77"/>
      <c r="W941" s="77"/>
      <c r="AB941" s="2328" t="s">
        <v>315</v>
      </c>
      <c r="AC941" s="2329"/>
      <c r="AD941" s="2329"/>
      <c r="AE941" s="2329"/>
      <c r="AF941" s="2329"/>
      <c r="AG941" s="2329"/>
      <c r="AH941" s="2329"/>
      <c r="AI941" s="2329"/>
      <c r="AJ941" s="2329"/>
      <c r="AK941" s="233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5">
        <v>1</v>
      </c>
      <c r="N942" s="2361"/>
      <c r="O942" s="2361"/>
      <c r="P942" s="2361"/>
      <c r="Q942" s="2361"/>
      <c r="R942" s="2361"/>
      <c r="S942" s="2362"/>
      <c r="U942" s="103" t="s">
        <v>13</v>
      </c>
      <c r="V942" s="77"/>
      <c r="W942" s="77"/>
      <c r="X942" s="77"/>
      <c r="Y942" s="77"/>
      <c r="Z942" s="77"/>
      <c r="AA942" s="77"/>
      <c r="AB942" s="77"/>
      <c r="AC942" s="77"/>
      <c r="AD942" s="78"/>
      <c r="AE942" s="2360"/>
      <c r="AF942" s="2361"/>
      <c r="AG942" s="2361"/>
      <c r="AH942" s="2361"/>
      <c r="AI942" s="2361"/>
      <c r="AJ942" s="2361"/>
      <c r="AK942" s="236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2">
        <v>88</v>
      </c>
      <c r="N943" s="2283"/>
      <c r="O943" s="2283"/>
      <c r="P943" s="2283"/>
      <c r="Q943" s="2283"/>
      <c r="R943" s="2283"/>
      <c r="S943" s="2284"/>
      <c r="U943" s="103" t="s">
        <v>14</v>
      </c>
      <c r="V943" s="77"/>
      <c r="W943" s="77"/>
      <c r="X943" s="77"/>
      <c r="Y943" s="77"/>
      <c r="Z943" s="77"/>
      <c r="AA943" s="77"/>
      <c r="AB943" s="77"/>
      <c r="AC943" s="77"/>
      <c r="AD943" s="78"/>
      <c r="AE943" s="2282"/>
      <c r="AF943" s="2283"/>
      <c r="AG943" s="2283"/>
      <c r="AH943" s="2283"/>
      <c r="AI943" s="2283"/>
      <c r="AJ943" s="2283"/>
      <c r="AK943" s="228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1">
        <v>789888</v>
      </c>
      <c r="N944" s="2322"/>
      <c r="O944" s="2322"/>
      <c r="P944" s="2322"/>
      <c r="Q944" s="2322"/>
      <c r="R944" s="2322"/>
      <c r="S944" s="2323"/>
      <c r="U944" s="103" t="s">
        <v>15</v>
      </c>
      <c r="V944" s="77"/>
      <c r="W944" s="77"/>
      <c r="X944" s="77"/>
      <c r="Y944" s="77"/>
      <c r="Z944" s="77"/>
      <c r="AA944" s="77"/>
      <c r="AB944" s="77"/>
      <c r="AC944" s="77"/>
      <c r="AD944" s="78"/>
      <c r="AE944" s="2321"/>
      <c r="AF944" s="2322"/>
      <c r="AG944" s="2322"/>
      <c r="AH944" s="2322"/>
      <c r="AI944" s="2322"/>
      <c r="AJ944" s="2322"/>
      <c r="AK944" s="23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1">
        <f>M944*20</f>
        <v>15797760</v>
      </c>
      <c r="N945" s="2322"/>
      <c r="O945" s="2322"/>
      <c r="P945" s="2322"/>
      <c r="Q945" s="2322"/>
      <c r="R945" s="2322"/>
      <c r="S945" s="2323"/>
      <c r="U945" s="103" t="s">
        <v>16</v>
      </c>
      <c r="V945" s="77"/>
      <c r="W945" s="77"/>
      <c r="X945" s="77"/>
      <c r="Y945" s="77"/>
      <c r="Z945" s="77"/>
      <c r="AA945" s="77"/>
      <c r="AB945" s="77"/>
      <c r="AC945" s="77"/>
      <c r="AD945" s="78"/>
      <c r="AE945" s="2321"/>
      <c r="AF945" s="2322"/>
      <c r="AG945" s="2322"/>
      <c r="AH945" s="2322"/>
      <c r="AI945" s="2322"/>
      <c r="AJ945" s="2322"/>
      <c r="AK945" s="23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4" t="s">
        <v>2635</v>
      </c>
      <c r="N946" s="2358"/>
      <c r="O946" s="2358"/>
      <c r="P946" s="2358"/>
      <c r="Q946" s="2358"/>
      <c r="R946" s="2358"/>
      <c r="S946" s="2359"/>
      <c r="U946" s="103" t="s">
        <v>604</v>
      </c>
      <c r="V946" s="77"/>
      <c r="W946" s="77"/>
      <c r="X946" s="77"/>
      <c r="Y946" s="77"/>
      <c r="Z946" s="77"/>
      <c r="AA946" s="77"/>
      <c r="AB946" s="77"/>
      <c r="AC946" s="77"/>
      <c r="AD946" s="78"/>
      <c r="AE946" s="2357"/>
      <c r="AF946" s="2358"/>
      <c r="AG946" s="2358"/>
      <c r="AH946" s="2358"/>
      <c r="AI946" s="2358"/>
      <c r="AJ946" s="2358"/>
      <c r="AK946" s="235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2"/>
      <c r="N951" s="2333"/>
      <c r="O951" s="2333"/>
      <c r="P951" s="2333"/>
      <c r="Q951" s="2333"/>
      <c r="R951" s="2333"/>
      <c r="S951" s="2334"/>
      <c r="T951" s="103" t="s">
        <v>847</v>
      </c>
      <c r="U951" s="77"/>
      <c r="V951" s="77"/>
      <c r="W951" s="77"/>
      <c r="X951" s="77"/>
      <c r="Y951" s="77"/>
      <c r="Z951" s="78"/>
      <c r="AA951" s="2332"/>
      <c r="AB951" s="2333"/>
      <c r="AC951" s="2333"/>
      <c r="AD951" s="2333"/>
      <c r="AE951" s="2333"/>
      <c r="AF951" s="2333"/>
      <c r="AG951" s="23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2"/>
      <c r="N952" s="2333"/>
      <c r="O952" s="2333"/>
      <c r="P952" s="2333"/>
      <c r="Q952" s="2333"/>
      <c r="R952" s="2333"/>
      <c r="S952" s="2334"/>
      <c r="T952" s="103" t="s">
        <v>846</v>
      </c>
      <c r="U952" s="77"/>
      <c r="V952" s="77"/>
      <c r="W952" s="77"/>
      <c r="X952" s="77"/>
      <c r="Y952" s="77"/>
      <c r="Z952" s="78"/>
      <c r="AA952" s="2332"/>
      <c r="AB952" s="2333"/>
      <c r="AC952" s="2333"/>
      <c r="AD952" s="2333"/>
      <c r="AE952" s="2333"/>
      <c r="AF952" s="2333"/>
      <c r="AG952" s="23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2" t="s">
        <v>625</v>
      </c>
      <c r="N953" s="2343"/>
      <c r="O953" s="2343"/>
      <c r="P953" s="2343"/>
      <c r="Q953" s="2343"/>
      <c r="R953" s="2343"/>
      <c r="S953" s="2344"/>
      <c r="T953" s="76" t="s">
        <v>345</v>
      </c>
      <c r="U953" s="77"/>
      <c r="V953" s="77"/>
      <c r="W953" s="77"/>
      <c r="X953" s="77"/>
      <c r="Y953" s="77"/>
      <c r="Z953" s="78"/>
      <c r="AA953" s="2332"/>
      <c r="AB953" s="2333"/>
      <c r="AC953" s="2333"/>
      <c r="AD953" s="2333"/>
      <c r="AE953" s="2333"/>
      <c r="AF953" s="2333"/>
      <c r="AG953" s="23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2"/>
      <c r="N954" s="2333"/>
      <c r="O954" s="2333"/>
      <c r="P954" s="2333"/>
      <c r="Q954" s="2333"/>
      <c r="R954" s="2333"/>
      <c r="S954" s="2334"/>
      <c r="T954" s="76" t="s">
        <v>346</v>
      </c>
      <c r="U954" s="77"/>
      <c r="V954" s="77"/>
      <c r="W954" s="77"/>
      <c r="X954" s="77"/>
      <c r="Y954" s="77"/>
      <c r="Z954" s="78"/>
      <c r="AA954" s="2332"/>
      <c r="AB954" s="2333"/>
      <c r="AC954" s="2333"/>
      <c r="AD954" s="2333"/>
      <c r="AE954" s="2333"/>
      <c r="AF954" s="2333"/>
      <c r="AG954" s="23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2"/>
      <c r="N955" s="2333"/>
      <c r="O955" s="2333"/>
      <c r="P955" s="2333"/>
      <c r="Q955" s="2333"/>
      <c r="R955" s="2333"/>
      <c r="S955" s="2334"/>
      <c r="T955" s="76" t="s">
        <v>393</v>
      </c>
      <c r="U955" s="77"/>
      <c r="V955" s="77"/>
      <c r="W955" s="77"/>
      <c r="X955" s="77"/>
      <c r="Y955" s="77"/>
      <c r="Z955" s="78"/>
      <c r="AA955" s="2332"/>
      <c r="AB955" s="2333"/>
      <c r="AC955" s="2333"/>
      <c r="AD955" s="2333"/>
      <c r="AE955" s="2333"/>
      <c r="AF955" s="2333"/>
      <c r="AG955" s="23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5" t="s">
        <v>315</v>
      </c>
      <c r="N956" s="2346"/>
      <c r="O956" s="2346"/>
      <c r="P956" s="2346"/>
      <c r="Q956" s="2346"/>
      <c r="R956" s="2346"/>
      <c r="S956" s="2347"/>
      <c r="T956" s="2335"/>
      <c r="U956" s="2336"/>
      <c r="V956" s="2336"/>
      <c r="W956" s="2336"/>
      <c r="X956" s="2336"/>
      <c r="Y956" s="2336"/>
      <c r="Z956" s="2337"/>
      <c r="AA956" s="2332"/>
      <c r="AB956" s="2333"/>
      <c r="AC956" s="2333"/>
      <c r="AD956" s="2333"/>
      <c r="AE956" s="2333"/>
      <c r="AF956" s="2333"/>
      <c r="AG956" s="23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2"/>
      <c r="N957" s="2333"/>
      <c r="O957" s="2333"/>
      <c r="P957" s="2333"/>
      <c r="Q957" s="2333"/>
      <c r="R957" s="2333"/>
      <c r="S957" s="2334"/>
      <c r="T957" s="2335"/>
      <c r="U957" s="2336"/>
      <c r="V957" s="2336"/>
      <c r="W957" s="2336"/>
      <c r="X957" s="2336"/>
      <c r="Y957" s="2336"/>
      <c r="Z957" s="2337"/>
      <c r="AA957" s="2332"/>
      <c r="AB957" s="2333"/>
      <c r="AC957" s="2333"/>
      <c r="AD957" s="2333"/>
      <c r="AE957" s="2333"/>
      <c r="AF957" s="2333"/>
      <c r="AG957" s="23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3" t="s">
        <v>705</v>
      </c>
      <c r="P958" s="2114"/>
      <c r="Q958" s="139"/>
      <c r="R958" s="139"/>
      <c r="S958" s="140"/>
      <c r="T958" s="71" t="s">
        <v>174</v>
      </c>
      <c r="U958" s="72"/>
      <c r="V958" s="72"/>
      <c r="W958" s="2313" t="s">
        <v>342</v>
      </c>
      <c r="X958" s="2288"/>
      <c r="Y958" s="2288"/>
      <c r="Z958" s="2288"/>
      <c r="AA958" s="2288"/>
      <c r="AB958" s="2288"/>
      <c r="AC958" s="2288"/>
      <c r="AD958" s="2288"/>
      <c r="AE958" s="2288"/>
      <c r="AF958" s="2288"/>
      <c r="AG958" s="228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65" t="s">
        <v>34</v>
      </c>
      <c r="G959" s="2366"/>
      <c r="H959" s="2366"/>
      <c r="I959" s="2366"/>
      <c r="J959" s="2366"/>
      <c r="K959" s="2366"/>
      <c r="L959" s="2366"/>
      <c r="M959" s="2332"/>
      <c r="N959" s="2333"/>
      <c r="O959" s="2333"/>
      <c r="P959" s="2333"/>
      <c r="Q959" s="2333"/>
      <c r="R959" s="2333"/>
      <c r="S959" s="2334"/>
      <c r="T959" s="79"/>
      <c r="U959" s="80"/>
      <c r="V959" s="80"/>
      <c r="W959" s="80"/>
      <c r="X959" s="80"/>
      <c r="Y959" s="80"/>
      <c r="Z959" s="188" t="s">
        <v>139</v>
      </c>
      <c r="AA959" s="2502"/>
      <c r="AB959" s="2503"/>
      <c r="AC959" s="2503"/>
      <c r="AD959" s="2503"/>
      <c r="AE959" s="2503"/>
      <c r="AF959" s="2503"/>
      <c r="AG959" s="250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37" t="s">
        <v>580</v>
      </c>
      <c r="B963" s="2437"/>
      <c r="C963" s="2437"/>
      <c r="D963" s="2437"/>
      <c r="E963" s="2437"/>
      <c r="F963" s="2437"/>
      <c r="G963" s="2437"/>
      <c r="H963" s="2437"/>
      <c r="I963" s="2437"/>
      <c r="J963" s="2437"/>
      <c r="K963" s="2437"/>
      <c r="L963" s="2437"/>
      <c r="M963" s="2437"/>
      <c r="N963" s="2437"/>
      <c r="O963" s="2437"/>
      <c r="P963" s="2437"/>
      <c r="Q963" s="2437"/>
      <c r="R963" s="2437"/>
      <c r="S963" s="2437"/>
      <c r="T963" s="2437"/>
      <c r="U963" s="2437"/>
      <c r="V963" s="2437"/>
      <c r="W963" s="2437"/>
      <c r="X963" s="2437"/>
      <c r="Y963" s="2437"/>
      <c r="Z963" s="2437"/>
      <c r="AA963" s="2437"/>
      <c r="AB963" s="2437"/>
      <c r="AC963" s="2437"/>
      <c r="AD963" s="2437"/>
      <c r="AE963" s="2437"/>
      <c r="AF963" s="2437"/>
      <c r="AG963" s="2437"/>
      <c r="AH963" s="2437"/>
      <c r="AI963" s="2437"/>
      <c r="AJ963" s="2437"/>
      <c r="AK963" s="2437"/>
      <c r="AL963" s="2437"/>
      <c r="AM963" s="2437"/>
      <c r="AN963" s="2437"/>
      <c r="AO963" s="2437"/>
      <c r="AP963" s="2437"/>
      <c r="AQ963" s="2437"/>
      <c r="AR963" s="2437"/>
      <c r="AS963" s="243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37"/>
      <c r="B964" s="2437"/>
      <c r="C964" s="2437"/>
      <c r="D964" s="2437"/>
      <c r="E964" s="2437"/>
      <c r="F964" s="2437"/>
      <c r="G964" s="2437"/>
      <c r="H964" s="2437"/>
      <c r="I964" s="2437"/>
      <c r="J964" s="2437"/>
      <c r="K964" s="2437"/>
      <c r="L964" s="2437"/>
      <c r="M964" s="2437"/>
      <c r="N964" s="2437"/>
      <c r="O964" s="2437"/>
      <c r="P964" s="2437"/>
      <c r="Q964" s="2437"/>
      <c r="R964" s="2437"/>
      <c r="S964" s="2437"/>
      <c r="T964" s="2437"/>
      <c r="U964" s="2437"/>
      <c r="V964" s="2437"/>
      <c r="W964" s="2437"/>
      <c r="X964" s="2437"/>
      <c r="Y964" s="2437"/>
      <c r="Z964" s="2437"/>
      <c r="AA964" s="2437"/>
      <c r="AB964" s="2437"/>
      <c r="AC964" s="2437"/>
      <c r="AD964" s="2437"/>
      <c r="AE964" s="2437"/>
      <c r="AF964" s="2437"/>
      <c r="AG964" s="2437"/>
      <c r="AH964" s="2437"/>
      <c r="AI964" s="2437"/>
      <c r="AJ964" s="2437"/>
      <c r="AK964" s="2437"/>
      <c r="AL964" s="2437"/>
      <c r="AM964" s="2437"/>
      <c r="AN964" s="2437"/>
      <c r="AO964" s="2437"/>
      <c r="AP964" s="2437"/>
      <c r="AQ964" s="2437"/>
      <c r="AR964" s="2437"/>
      <c r="AS964" s="243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496" t="s">
        <v>672</v>
      </c>
      <c r="E968" s="2497"/>
      <c r="F968" s="2497"/>
      <c r="G968" s="2497"/>
      <c r="H968" s="2497"/>
      <c r="I968" s="2497"/>
      <c r="J968" s="2497"/>
      <c r="K968" s="2497"/>
      <c r="L968" s="2497"/>
      <c r="M968" s="2497"/>
      <c r="N968" s="2497"/>
      <c r="O968" s="2497"/>
      <c r="P968" s="2497"/>
      <c r="Q968" s="2498"/>
      <c r="R968" s="2496" t="s">
        <v>673</v>
      </c>
      <c r="S968" s="2497"/>
      <c r="T968" s="2497"/>
      <c r="U968" s="2497"/>
      <c r="V968" s="2497"/>
      <c r="W968" s="2497"/>
      <c r="X968" s="2497"/>
      <c r="Y968" s="2497"/>
      <c r="Z968" s="2497"/>
      <c r="AA968" s="2498"/>
      <c r="AB968" s="2496" t="s">
        <v>674</v>
      </c>
      <c r="AC968" s="2497"/>
      <c r="AD968" s="2497"/>
      <c r="AE968" s="2497"/>
      <c r="AF968" s="2497"/>
      <c r="AG968" s="2497"/>
      <c r="AH968" s="2497"/>
      <c r="AI968" s="2498"/>
      <c r="AJ968" s="2496" t="s">
        <v>675</v>
      </c>
      <c r="AK968" s="2497"/>
      <c r="AL968" s="2497"/>
      <c r="AM968" s="2497"/>
      <c r="AN968" s="2497"/>
      <c r="AO968" s="2497"/>
      <c r="AP968" s="2497"/>
      <c r="AQ968" s="2498"/>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386" t="s">
        <v>667</v>
      </c>
      <c r="E969" s="2387"/>
      <c r="F969" s="2387"/>
      <c r="G969" s="2387"/>
      <c r="H969" s="2387"/>
      <c r="I969" s="2387"/>
      <c r="J969" s="2387"/>
      <c r="K969" s="2387"/>
      <c r="L969" s="2387"/>
      <c r="M969" s="2387"/>
      <c r="N969" s="2387"/>
      <c r="O969" s="2387"/>
      <c r="P969" s="2387"/>
      <c r="Q969" s="2388"/>
      <c r="R969" s="2367">
        <f>IF(ISNA(IF($BN$799="4%",(INDEX($BP$809:$BT$866,MATCH($CB$799,$BO$809:$BO$866,0),MATCH(D969,$BP$808:$BT$808,0))),(INDEX($BW$809:$CA$866,MATCH($CB$799,$BV$809:$BV$866,0),MATCH(D969,$BW$808:$CA$808,0))))),0,IF($BN$799="4%",(INDEX($BP$809:$BT$866,MATCH($CB$799,$BO$809:$BO$866,0),MATCH(D969,$BP$808:$BT$808,0))),(INDEX($BW$809:$CA$866,MATCH($CB$799,$BV$809:$BV$866,0),MATCH(D969,$BW$808:$CA$808,0)))))</f>
        <v>327289</v>
      </c>
      <c r="S969" s="2367"/>
      <c r="T969" s="2367"/>
      <c r="U969" s="2367"/>
      <c r="V969" s="2367"/>
      <c r="W969" s="2367"/>
      <c r="X969" s="2367"/>
      <c r="Y969" s="2367"/>
      <c r="Z969" s="2367"/>
      <c r="AA969" s="2367"/>
      <c r="AB969" s="2499">
        <f>BN663</f>
        <v>88</v>
      </c>
      <c r="AC969" s="2500"/>
      <c r="AD969" s="2500"/>
      <c r="AE969" s="2500"/>
      <c r="AF969" s="2500"/>
      <c r="AG969" s="2500"/>
      <c r="AH969" s="2500"/>
      <c r="AI969" s="2501"/>
      <c r="AJ969" s="2390">
        <f>IF(ISERROR((R969*AB969)),0,(R969*AB969))</f>
        <v>28801432</v>
      </c>
      <c r="AK969" s="2391"/>
      <c r="AL969" s="2391"/>
      <c r="AM969" s="2391"/>
      <c r="AN969" s="2391"/>
      <c r="AO969" s="2391"/>
      <c r="AP969" s="2391"/>
      <c r="AQ969" s="2392"/>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386" t="s">
        <v>333</v>
      </c>
      <c r="E970" s="2387"/>
      <c r="F970" s="2387"/>
      <c r="G970" s="2387"/>
      <c r="H970" s="2387"/>
      <c r="I970" s="2387"/>
      <c r="J970" s="2387"/>
      <c r="K970" s="2387"/>
      <c r="L970" s="2387"/>
      <c r="M970" s="2387"/>
      <c r="N970" s="2387"/>
      <c r="O970" s="2387"/>
      <c r="P970" s="2387"/>
      <c r="Q970" s="2388"/>
      <c r="R970" s="2367">
        <f>IF(ISNA(IF($BN$799="4%",(INDEX($BP$809:$BT$866,MATCH($CB$799,$BO$809:$BO$866,0),MATCH(D970,$BP$808:$BT$808,0))),(INDEX($BW$809:$CA$866,MATCH($CB$799,$BV$809:$BV$866,0),MATCH(D970,$BW$808:$CA$808,0))))),0,IF($BN$799="4%",(INDEX($BP$809:$BT$866,MATCH($CB$799,$BO$809:$BO$866,0),MATCH(D970,$BP$808:$BT$808,0))),(INDEX($BW$809:$CA$866,MATCH($CB$799,$BV$809:$BV$866,0),MATCH(D970,$BW$808:$CA$808,0)))))</f>
        <v>377361</v>
      </c>
      <c r="S970" s="2367"/>
      <c r="T970" s="2367"/>
      <c r="U970" s="2367"/>
      <c r="V970" s="2367"/>
      <c r="W970" s="2367"/>
      <c r="X970" s="2367"/>
      <c r="Y970" s="2367"/>
      <c r="Z970" s="2367"/>
      <c r="AA970" s="2367"/>
      <c r="AB970" s="2499">
        <f>BS663</f>
        <v>0</v>
      </c>
      <c r="AC970" s="2500"/>
      <c r="AD970" s="2500"/>
      <c r="AE970" s="2500"/>
      <c r="AF970" s="2500"/>
      <c r="AG970" s="2500"/>
      <c r="AH970" s="2500"/>
      <c r="AI970" s="2501"/>
      <c r="AJ970" s="2390">
        <f>IF(ISERROR((R970*AB970)),0,(R970*AB970))</f>
        <v>0</v>
      </c>
      <c r="AK970" s="2391"/>
      <c r="AL970" s="2391"/>
      <c r="AM970" s="2391"/>
      <c r="AN970" s="2391"/>
      <c r="AO970" s="2391"/>
      <c r="AP970" s="2391"/>
      <c r="AQ970" s="2392"/>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6" t="s">
        <v>168</v>
      </c>
      <c r="E971" s="2387"/>
      <c r="F971" s="2387"/>
      <c r="G971" s="2387"/>
      <c r="H971" s="2387"/>
      <c r="I971" s="2387"/>
      <c r="J971" s="2387"/>
      <c r="K971" s="2387"/>
      <c r="L971" s="2387"/>
      <c r="M971" s="2387"/>
      <c r="N971" s="2387"/>
      <c r="O971" s="2387"/>
      <c r="P971" s="2387"/>
      <c r="Q971" s="2388"/>
      <c r="R971" s="2367">
        <f>IF(ISNA(IF($BN$799="4%",(INDEX($BP$809:$BT$866,MATCH($CB$799,$BO$809:$BO$866,0),MATCH(D971,$BP$808:$BT$808,0))),(INDEX($BW$809:$CA$866,MATCH($CB$799,$BV$809:$BV$866,0),MATCH(D971,$BW$808:$CA$808,0))))),0,IF($BN$799="4%",(INDEX($BP$809:$BT$866,MATCH($CB$799,$BO$809:$BO$866,0),MATCH(D971,$BP$808:$BT$808,0))),(INDEX($BW$809:$CA$866,MATCH($CB$799,$BV$809:$BV$866,0),MATCH(D971,$BW$808:$CA$808,0)))))</f>
        <v>455200</v>
      </c>
      <c r="S971" s="2367"/>
      <c r="T971" s="2367"/>
      <c r="U971" s="2367"/>
      <c r="V971" s="2367"/>
      <c r="W971" s="2367"/>
      <c r="X971" s="2367"/>
      <c r="Y971" s="2367"/>
      <c r="Z971" s="2367"/>
      <c r="AA971" s="2367"/>
      <c r="AB971" s="2499">
        <f>BX663</f>
        <v>1</v>
      </c>
      <c r="AC971" s="2500"/>
      <c r="AD971" s="2500"/>
      <c r="AE971" s="2500"/>
      <c r="AF971" s="2500"/>
      <c r="AG971" s="2500"/>
      <c r="AH971" s="2500"/>
      <c r="AI971" s="2501"/>
      <c r="AJ971" s="2390">
        <f>IF(ISERROR((R971*AB971)),0,(R971*AB971))</f>
        <v>455200</v>
      </c>
      <c r="AK971" s="2391"/>
      <c r="AL971" s="2391"/>
      <c r="AM971" s="2391"/>
      <c r="AN971" s="2391"/>
      <c r="AO971" s="2391"/>
      <c r="AP971" s="2391"/>
      <c r="AQ971" s="2392"/>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386" t="s">
        <v>169</v>
      </c>
      <c r="E972" s="2387"/>
      <c r="F972" s="2387"/>
      <c r="G972" s="2387"/>
      <c r="H972" s="2387"/>
      <c r="I972" s="2387"/>
      <c r="J972" s="2387"/>
      <c r="K972" s="2387"/>
      <c r="L972" s="2387"/>
      <c r="M972" s="2387"/>
      <c r="N972" s="2387"/>
      <c r="O972" s="2387"/>
      <c r="P972" s="2387"/>
      <c r="Q972" s="2388"/>
      <c r="R972" s="2367">
        <f>IF(ISNA(IF($BN$799="4%",(INDEX($BP$809:$BT$866,MATCH($CB$799,$BO$809:$BO$866,0),MATCH(D972,$BP$808:$BT$808,0))),(INDEX($BW$809:$CA$866,MATCH($CB$799,$BV$809:$BV$866,0),MATCH(D972,$BW$808:$CA$808,0))))),0,IF($BN$799="4%",(INDEX($BP$809:$BT$866,MATCH($CB$799,$BO$809:$BO$866,0),MATCH(D972,$BP$808:$BT$808,0))),(INDEX($BW$809:$CA$866,MATCH($CB$799,$BV$809:$BV$866,0),MATCH(D972,$BW$808:$CA$808,0)))))</f>
        <v>582656</v>
      </c>
      <c r="S972" s="2367"/>
      <c r="T972" s="2367"/>
      <c r="U972" s="2367"/>
      <c r="V972" s="2367"/>
      <c r="W972" s="2367"/>
      <c r="X972" s="2367"/>
      <c r="Y972" s="2367"/>
      <c r="Z972" s="2367"/>
      <c r="AA972" s="2367"/>
      <c r="AB972" s="2499">
        <f>CC663</f>
        <v>0</v>
      </c>
      <c r="AC972" s="2500"/>
      <c r="AD972" s="2500"/>
      <c r="AE972" s="2500"/>
      <c r="AF972" s="2500"/>
      <c r="AG972" s="2500"/>
      <c r="AH972" s="2500"/>
      <c r="AI972" s="2501"/>
      <c r="AJ972" s="2390">
        <f>IF(ISERROR((R972*AB972)),0,(R972*AB972))</f>
        <v>0</v>
      </c>
      <c r="AK972" s="2391"/>
      <c r="AL972" s="2391"/>
      <c r="AM972" s="2391"/>
      <c r="AN972" s="2391"/>
      <c r="AO972" s="2391"/>
      <c r="AP972" s="2391"/>
      <c r="AQ972" s="2392"/>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6" t="s">
        <v>492</v>
      </c>
      <c r="E973" s="2387"/>
      <c r="F973" s="2387"/>
      <c r="G973" s="2387"/>
      <c r="H973" s="2387"/>
      <c r="I973" s="2387"/>
      <c r="J973" s="2387"/>
      <c r="K973" s="2387"/>
      <c r="L973" s="2387"/>
      <c r="M973" s="2387"/>
      <c r="N973" s="2387"/>
      <c r="O973" s="2387"/>
      <c r="P973" s="2387"/>
      <c r="Q973" s="2388"/>
      <c r="R973" s="2367">
        <f>IF(ISNA(IF($BN$799="4%",(INDEX($BP$809:$BT$866,MATCH($CB$799,$BO$809:$BO$866,0),MATCH(D973,$BP$808:$BT$808,0))),(INDEX($BW$809:$CA$866,MATCH($CB$799,$BV$809:$BV$866,0),MATCH(D973,$BW$808:$CA$808,0))))),0,IF($BN$799="4%",(INDEX($BP$809:$BT$866,MATCH($CB$799,$BO$809:$BO$866,0),MATCH(D973,$BP$808:$BT$808,0))),(INDEX($BW$809:$CA$866,MATCH($CB$799,$BV$809:$BV$866,0),MATCH(D973,$BW$808:$CA$808,0)))))</f>
        <v>649115</v>
      </c>
      <c r="S973" s="2367"/>
      <c r="T973" s="2367"/>
      <c r="U973" s="2367"/>
      <c r="V973" s="2367"/>
      <c r="W973" s="2367"/>
      <c r="X973" s="2367"/>
      <c r="Y973" s="2367"/>
      <c r="Z973" s="2367"/>
      <c r="AA973" s="2367"/>
      <c r="AB973" s="2499">
        <f>CM663+CH663</f>
        <v>0</v>
      </c>
      <c r="AC973" s="2500"/>
      <c r="AD973" s="2500"/>
      <c r="AE973" s="2500"/>
      <c r="AF973" s="2500"/>
      <c r="AG973" s="2500"/>
      <c r="AH973" s="2500"/>
      <c r="AI973" s="2501"/>
      <c r="AJ973" s="2390">
        <f>IF(ISERROR((R973*AB973)),0,(R973*AB973))</f>
        <v>0</v>
      </c>
      <c r="AK973" s="2391"/>
      <c r="AL973" s="2391"/>
      <c r="AM973" s="2391"/>
      <c r="AN973" s="2391"/>
      <c r="AO973" s="2391"/>
      <c r="AP973" s="2391"/>
      <c r="AQ973" s="2392"/>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0" t="s">
        <v>848</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499">
        <f>SUM(AB969:AI973)</f>
        <v>89</v>
      </c>
      <c r="AC974" s="2500"/>
      <c r="AD974" s="2500"/>
      <c r="AE974" s="2500"/>
      <c r="AF974" s="2500"/>
      <c r="AG974" s="2500"/>
      <c r="AH974" s="2500"/>
      <c r="AI974" s="2501"/>
      <c r="AJ974" s="2390"/>
      <c r="AK974" s="2391"/>
      <c r="AL974" s="2391"/>
      <c r="AM974" s="2391"/>
      <c r="AN974" s="2391"/>
      <c r="AO974" s="2391"/>
      <c r="AP974" s="2391"/>
      <c r="AQ974" s="2392"/>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553" t="s">
        <v>544</v>
      </c>
      <c r="C975" s="2554"/>
      <c r="D975" s="2554"/>
      <c r="E975" s="2554"/>
      <c r="F975" s="2554"/>
      <c r="G975" s="2554"/>
      <c r="H975" s="2554"/>
      <c r="I975" s="2554"/>
      <c r="J975" s="2554"/>
      <c r="K975" s="2554"/>
      <c r="L975" s="2554"/>
      <c r="M975" s="2554"/>
      <c r="N975" s="2554"/>
      <c r="O975" s="2554"/>
      <c r="P975" s="2554"/>
      <c r="Q975" s="2554"/>
      <c r="R975" s="2554"/>
      <c r="S975" s="2554"/>
      <c r="T975" s="2554"/>
      <c r="U975" s="2554"/>
      <c r="V975" s="2554"/>
      <c r="W975" s="2554"/>
      <c r="X975" s="2554"/>
      <c r="Y975" s="2554"/>
      <c r="Z975" s="2554"/>
      <c r="AA975" s="2554"/>
      <c r="AB975" s="2554"/>
      <c r="AC975" s="2554"/>
      <c r="AD975" s="2554"/>
      <c r="AE975" s="2554"/>
      <c r="AF975" s="2554"/>
      <c r="AG975" s="2554"/>
      <c r="AH975" s="2554"/>
      <c r="AI975" s="2555"/>
      <c r="AJ975" s="2390">
        <f>SUM(AJ969:AQ973)</f>
        <v>29256632</v>
      </c>
      <c r="AK975" s="2391"/>
      <c r="AL975" s="2391"/>
      <c r="AM975" s="2391"/>
      <c r="AN975" s="2391"/>
      <c r="AO975" s="2391"/>
      <c r="AP975" s="2391"/>
      <c r="AQ975" s="2392"/>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9"/>
      <c r="C976" s="2490"/>
      <c r="D976" s="2490"/>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2556" t="s">
        <v>702</v>
      </c>
      <c r="AG976" s="2557"/>
      <c r="AH976" s="2557"/>
      <c r="AI976" s="2558"/>
      <c r="AJ976" s="2489"/>
      <c r="AK976" s="2490"/>
      <c r="AL976" s="2490"/>
      <c r="AM976" s="2490"/>
      <c r="AN976" s="2490"/>
      <c r="AO976" s="2490"/>
      <c r="AP976" s="2490"/>
      <c r="AQ976" s="2491"/>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92" t="s">
        <v>1429</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559" t="s">
        <v>577</v>
      </c>
      <c r="AH977" s="2560"/>
      <c r="AI977" s="125"/>
      <c r="AJ977" s="2481">
        <f>ROUND(IF(AND(AG977="yes",D979&gt;0),AJ975*0.2,0),0)</f>
        <v>5851326</v>
      </c>
      <c r="AK977" s="2482"/>
      <c r="AL977" s="2482"/>
      <c r="AM977" s="2482"/>
      <c r="AN977" s="2482"/>
      <c r="AO977" s="2482"/>
      <c r="AP977" s="2482"/>
      <c r="AQ977" s="2483"/>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23" t="s">
        <v>1430</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484"/>
      <c r="AK978" s="2149"/>
      <c r="AL978" s="2149"/>
      <c r="AM978" s="2149"/>
      <c r="AN978" s="2149"/>
      <c r="AO978" s="2149"/>
      <c r="AP978" s="2149"/>
      <c r="AQ978" s="248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1"/>
      <c r="C979" s="410"/>
      <c r="D979" s="2526" t="s">
        <v>2595</v>
      </c>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486"/>
      <c r="AK979" s="2487"/>
      <c r="AL979" s="2487"/>
      <c r="AM979" s="2487"/>
      <c r="AN979" s="2487"/>
      <c r="AO979" s="2487"/>
      <c r="AP979" s="2487"/>
      <c r="AQ979" s="248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44" t="s">
        <v>1528</v>
      </c>
      <c r="E980" s="2445"/>
      <c r="F980" s="2445"/>
      <c r="G980" s="2445"/>
      <c r="H980" s="2445"/>
      <c r="I980" s="2445"/>
      <c r="J980" s="2445"/>
      <c r="K980" s="2445"/>
      <c r="L980" s="2445"/>
      <c r="M980" s="2445"/>
      <c r="N980" s="2445"/>
      <c r="O980" s="2445"/>
      <c r="P980" s="2445"/>
      <c r="Q980" s="2445"/>
      <c r="R980" s="2445"/>
      <c r="S980" s="2445"/>
      <c r="T980" s="2445"/>
      <c r="U980" s="2445"/>
      <c r="V980" s="2445"/>
      <c r="W980" s="2445"/>
      <c r="X980" s="2445"/>
      <c r="Y980" s="2445"/>
      <c r="Z980" s="2445"/>
      <c r="AA980" s="2445"/>
      <c r="AB980" s="2445"/>
      <c r="AC980" s="2445"/>
      <c r="AD980" s="2445"/>
      <c r="AE980" s="2446"/>
      <c r="AF980" s="117"/>
      <c r="AG980" s="2456" t="s">
        <v>577</v>
      </c>
      <c r="AH980" s="2457"/>
      <c r="AI980" s="125"/>
      <c r="AJ980" s="2481">
        <f>ROUND(IF(AG980="yes",AJ975*0.05,0),0)</f>
        <v>1462832</v>
      </c>
      <c r="AK980" s="2482"/>
      <c r="AL980" s="2482"/>
      <c r="AM980" s="2482"/>
      <c r="AN980" s="2482"/>
      <c r="AO980" s="2482"/>
      <c r="AP980" s="2482"/>
      <c r="AQ980" s="2483"/>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1"/>
      <c r="C981" s="120"/>
      <c r="D981" s="2523" t="s">
        <v>1526</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484"/>
      <c r="AK981" s="2149"/>
      <c r="AL981" s="2149"/>
      <c r="AM981" s="2149"/>
      <c r="AN981" s="2149"/>
      <c r="AO981" s="2149"/>
      <c r="AP981" s="2149"/>
      <c r="AQ981" s="248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484"/>
      <c r="AK982" s="2149"/>
      <c r="AL982" s="2149"/>
      <c r="AM982" s="2149"/>
      <c r="AN982" s="2149"/>
      <c r="AO982" s="2149"/>
      <c r="AP982" s="2149"/>
      <c r="AQ982" s="248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484"/>
      <c r="AK983" s="2149"/>
      <c r="AL983" s="2149"/>
      <c r="AM983" s="2149"/>
      <c r="AN983" s="2149"/>
      <c r="AO983" s="2149"/>
      <c r="AP983" s="2149"/>
      <c r="AQ983" s="248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484"/>
      <c r="AK984" s="2149"/>
      <c r="AL984" s="2149"/>
      <c r="AM984" s="2149"/>
      <c r="AN984" s="2149"/>
      <c r="AO984" s="2149"/>
      <c r="AP984" s="2149"/>
      <c r="AQ984" s="248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486"/>
      <c r="AK985" s="2487"/>
      <c r="AL985" s="2487"/>
      <c r="AM985" s="2487"/>
      <c r="AN985" s="2487"/>
      <c r="AO985" s="2487"/>
      <c r="AP985" s="2487"/>
      <c r="AQ985" s="248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44" t="s">
        <v>2169</v>
      </c>
      <c r="E986" s="2445"/>
      <c r="F986" s="2445"/>
      <c r="G986" s="2445"/>
      <c r="H986" s="2445"/>
      <c r="I986" s="2445"/>
      <c r="J986" s="2445"/>
      <c r="K986" s="2445"/>
      <c r="L986" s="2445"/>
      <c r="M986" s="2445"/>
      <c r="N986" s="2445"/>
      <c r="O986" s="2445"/>
      <c r="P986" s="2445"/>
      <c r="Q986" s="2445"/>
      <c r="R986" s="2445"/>
      <c r="S986" s="2445"/>
      <c r="T986" s="2445"/>
      <c r="U986" s="2445"/>
      <c r="V986" s="2445"/>
      <c r="W986" s="2445"/>
      <c r="X986" s="2445"/>
      <c r="Y986" s="2445"/>
      <c r="Z986" s="2445"/>
      <c r="AA986" s="2445"/>
      <c r="AB986" s="2445"/>
      <c r="AC986" s="2445"/>
      <c r="AD986" s="2445"/>
      <c r="AE986" s="2446"/>
      <c r="AF986" s="124"/>
      <c r="AG986" s="2456" t="s">
        <v>705</v>
      </c>
      <c r="AH986" s="2457"/>
      <c r="AI986" s="125"/>
      <c r="AJ986" s="2481">
        <f>ROUND(IF(AG986="yes",AJ975*0.1,0),0)</f>
        <v>0</v>
      </c>
      <c r="AK986" s="2482"/>
      <c r="AL986" s="2482"/>
      <c r="AM986" s="2482"/>
      <c r="AN986" s="2482"/>
      <c r="AO986" s="2482"/>
      <c r="AP986" s="2482"/>
      <c r="AQ986" s="2483"/>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7" t="s">
        <v>1527</v>
      </c>
      <c r="E987" s="2448"/>
      <c r="F987" s="2448"/>
      <c r="G987" s="2448"/>
      <c r="H987" s="2448"/>
      <c r="I987" s="2448"/>
      <c r="J987" s="2448"/>
      <c r="K987" s="2448"/>
      <c r="L987" s="2448"/>
      <c r="M987" s="2448"/>
      <c r="N987" s="2448"/>
      <c r="O987" s="2448"/>
      <c r="P987" s="2448"/>
      <c r="Q987" s="2448"/>
      <c r="R987" s="2448"/>
      <c r="S987" s="2448"/>
      <c r="T987" s="2448"/>
      <c r="U987" s="2448"/>
      <c r="V987" s="2448"/>
      <c r="W987" s="2448"/>
      <c r="X987" s="2448"/>
      <c r="Y987" s="2448"/>
      <c r="Z987" s="2448"/>
      <c r="AA987" s="2448"/>
      <c r="AB987" s="2448"/>
      <c r="AC987" s="2448"/>
      <c r="AD987" s="2448"/>
      <c r="AE987" s="2449"/>
      <c r="AF987" s="110"/>
      <c r="AG987" s="25"/>
      <c r="AH987" s="25"/>
      <c r="AI987" s="121"/>
      <c r="AJ987" s="2484"/>
      <c r="AK987" s="2149"/>
      <c r="AL987" s="2149"/>
      <c r="AM987" s="2149"/>
      <c r="AN987" s="2149"/>
      <c r="AO987" s="2149"/>
      <c r="AP987" s="2149"/>
      <c r="AQ987" s="2485"/>
      <c r="AR987" s="1582"/>
      <c r="AS987" s="1582"/>
      <c r="AT987" s="1582"/>
      <c r="AU987" s="1582"/>
      <c r="AV987" s="1582"/>
      <c r="AW987" s="1582"/>
      <c r="AX987" s="1582"/>
      <c r="AY987" s="1582"/>
      <c r="AZ987" s="61"/>
      <c r="BA987" s="1611">
        <f>G753+O796</f>
        <v>88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7"/>
      <c r="E988" s="2448"/>
      <c r="F988" s="2448"/>
      <c r="G988" s="2448"/>
      <c r="H988" s="2448"/>
      <c r="I988" s="2448"/>
      <c r="J988" s="2448"/>
      <c r="K988" s="2448"/>
      <c r="L988" s="2448"/>
      <c r="M988" s="2448"/>
      <c r="N988" s="2448"/>
      <c r="O988" s="2448"/>
      <c r="P988" s="2448"/>
      <c r="Q988" s="2448"/>
      <c r="R988" s="2448"/>
      <c r="S988" s="2448"/>
      <c r="T988" s="2448"/>
      <c r="U988" s="2448"/>
      <c r="V988" s="2448"/>
      <c r="W988" s="2448"/>
      <c r="X988" s="2448"/>
      <c r="Y988" s="2448"/>
      <c r="Z988" s="2448"/>
      <c r="AA988" s="2448"/>
      <c r="AB988" s="2448"/>
      <c r="AC988" s="2448"/>
      <c r="AD988" s="2448"/>
      <c r="AE988" s="2449"/>
      <c r="AF988" s="110"/>
      <c r="AG988" s="112"/>
      <c r="AH988" s="112"/>
      <c r="AI988" s="121"/>
      <c r="AJ988" s="2484"/>
      <c r="AK988" s="2149"/>
      <c r="AL988" s="2149"/>
      <c r="AM988" s="2149"/>
      <c r="AN988" s="2149"/>
      <c r="AO988" s="2149"/>
      <c r="AP988" s="2149"/>
      <c r="AQ988" s="248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60"/>
      <c r="E989" s="2461"/>
      <c r="F989" s="2461"/>
      <c r="G989" s="2461"/>
      <c r="H989" s="2461"/>
      <c r="I989" s="2461"/>
      <c r="J989" s="2461"/>
      <c r="K989" s="2461"/>
      <c r="L989" s="2461"/>
      <c r="M989" s="2461"/>
      <c r="N989" s="2461"/>
      <c r="O989" s="2461"/>
      <c r="P989" s="2461"/>
      <c r="Q989" s="2461"/>
      <c r="R989" s="2461"/>
      <c r="S989" s="2461"/>
      <c r="T989" s="2461"/>
      <c r="U989" s="2461"/>
      <c r="V989" s="2461"/>
      <c r="W989" s="2461"/>
      <c r="X989" s="2461"/>
      <c r="Y989" s="2461"/>
      <c r="Z989" s="2461"/>
      <c r="AA989" s="2461"/>
      <c r="AB989" s="2461"/>
      <c r="AC989" s="2461"/>
      <c r="AD989" s="2461"/>
      <c r="AE989" s="2462"/>
      <c r="AF989" s="115"/>
      <c r="AG989" s="11"/>
      <c r="AH989" s="11"/>
      <c r="AI989" s="116"/>
      <c r="AJ989" s="2486"/>
      <c r="AK989" s="2487"/>
      <c r="AL989" s="2487"/>
      <c r="AM989" s="2487"/>
      <c r="AN989" s="2487"/>
      <c r="AO989" s="2487"/>
      <c r="AP989" s="2487"/>
      <c r="AQ989" s="2488"/>
      <c r="AR989" s="1582"/>
      <c r="AS989" s="1582"/>
      <c r="AT989" s="1582"/>
      <c r="AU989" s="1582"/>
      <c r="AV989" s="1582"/>
      <c r="AW989" s="1582"/>
      <c r="AX989" s="1582"/>
      <c r="AY989" s="1582"/>
      <c r="AZ989" s="61"/>
      <c r="BA989" s="1610">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44" t="s">
        <v>1529</v>
      </c>
      <c r="E990" s="2445"/>
      <c r="F990" s="2445"/>
      <c r="G990" s="2445"/>
      <c r="H990" s="2445"/>
      <c r="I990" s="2445"/>
      <c r="J990" s="2445"/>
      <c r="K990" s="2445"/>
      <c r="L990" s="2445"/>
      <c r="M990" s="2445"/>
      <c r="N990" s="2445"/>
      <c r="O990" s="2445"/>
      <c r="P990" s="2445"/>
      <c r="Q990" s="2445"/>
      <c r="R990" s="2445"/>
      <c r="S990" s="2445"/>
      <c r="T990" s="2445"/>
      <c r="U990" s="2445"/>
      <c r="V990" s="2445"/>
      <c r="W990" s="2445"/>
      <c r="X990" s="2445"/>
      <c r="Y990" s="2445"/>
      <c r="Z990" s="2445"/>
      <c r="AA990" s="2445"/>
      <c r="AB990" s="2445"/>
      <c r="AC990" s="2445"/>
      <c r="AD990" s="2445"/>
      <c r="AE990" s="2446"/>
      <c r="AF990" s="117"/>
      <c r="AG990" s="2456" t="s">
        <v>705</v>
      </c>
      <c r="AH990" s="2457"/>
      <c r="AI990" s="125"/>
      <c r="AJ990" s="2481">
        <f>ROUND(IF(AG990="yes",AJ975*0.02,0),0)</f>
        <v>0</v>
      </c>
      <c r="AK990" s="2482"/>
      <c r="AL990" s="2482"/>
      <c r="AM990" s="2482"/>
      <c r="AN990" s="2482"/>
      <c r="AO990" s="2482"/>
      <c r="AP990" s="2482"/>
      <c r="AQ990" s="2483"/>
      <c r="AR990" s="1582"/>
      <c r="AS990" s="1582"/>
      <c r="AT990" s="1582"/>
      <c r="AU990" s="1582"/>
      <c r="AV990" s="1582"/>
      <c r="AW990" s="1582"/>
      <c r="AX990" s="1582"/>
      <c r="AY990" s="1582"/>
      <c r="AZ990" s="61"/>
      <c r="BA990" s="1610">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0" t="s">
        <v>1530</v>
      </c>
      <c r="E991" s="2461"/>
      <c r="F991" s="2461"/>
      <c r="G991" s="2461"/>
      <c r="H991" s="2461"/>
      <c r="I991" s="2461"/>
      <c r="J991" s="2461"/>
      <c r="K991" s="2461"/>
      <c r="L991" s="2461"/>
      <c r="M991" s="2461"/>
      <c r="N991" s="2461"/>
      <c r="O991" s="2461"/>
      <c r="P991" s="2461"/>
      <c r="Q991" s="2461"/>
      <c r="R991" s="2461"/>
      <c r="S991" s="2461"/>
      <c r="T991" s="2461"/>
      <c r="U991" s="2461"/>
      <c r="V991" s="2461"/>
      <c r="W991" s="2461"/>
      <c r="X991" s="2461"/>
      <c r="Y991" s="2461"/>
      <c r="Z991" s="2461"/>
      <c r="AA991" s="2461"/>
      <c r="AB991" s="2461"/>
      <c r="AC991" s="2461"/>
      <c r="AD991" s="2461"/>
      <c r="AE991" s="2462"/>
      <c r="AF991" s="115"/>
      <c r="AG991" s="11"/>
      <c r="AH991" s="11"/>
      <c r="AI991" s="116"/>
      <c r="AJ991" s="2486"/>
      <c r="AK991" s="2487"/>
      <c r="AL991" s="2487"/>
      <c r="AM991" s="2487"/>
      <c r="AN991" s="2487"/>
      <c r="AO991" s="2487"/>
      <c r="AP991" s="2487"/>
      <c r="AQ991" s="248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444" t="s">
        <v>1531</v>
      </c>
      <c r="E992" s="2445"/>
      <c r="F992" s="2445"/>
      <c r="G992" s="2445"/>
      <c r="H992" s="2445"/>
      <c r="I992" s="2445"/>
      <c r="J992" s="2445"/>
      <c r="K992" s="2445"/>
      <c r="L992" s="2445"/>
      <c r="M992" s="2445"/>
      <c r="N992" s="2445"/>
      <c r="O992" s="2445"/>
      <c r="P992" s="2445"/>
      <c r="Q992" s="2445"/>
      <c r="R992" s="2445"/>
      <c r="S992" s="2445"/>
      <c r="T992" s="2445"/>
      <c r="U992" s="2445"/>
      <c r="V992" s="2445"/>
      <c r="W992" s="2445"/>
      <c r="X992" s="2445"/>
      <c r="Y992" s="2445"/>
      <c r="Z992" s="2445"/>
      <c r="AA992" s="2445"/>
      <c r="AB992" s="2445"/>
      <c r="AC992" s="2445"/>
      <c r="AD992" s="2445"/>
      <c r="AE992" s="2446"/>
      <c r="AF992" s="117"/>
      <c r="AG992" s="2456" t="s">
        <v>577</v>
      </c>
      <c r="AH992" s="2457"/>
      <c r="AI992" s="117"/>
      <c r="AJ992" s="2481">
        <f>ROUND(IF(AG992="yes",AJ975*0.02,0),0)</f>
        <v>585133</v>
      </c>
      <c r="AK992" s="2482"/>
      <c r="AL992" s="2482"/>
      <c r="AM992" s="2482"/>
      <c r="AN992" s="2482"/>
      <c r="AO992" s="2482"/>
      <c r="AP992" s="2482"/>
      <c r="AQ992" s="2483"/>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7" t="s">
        <v>1532</v>
      </c>
      <c r="E993" s="2448"/>
      <c r="F993" s="2448"/>
      <c r="G993" s="2448"/>
      <c r="H993" s="2448"/>
      <c r="I993" s="2448"/>
      <c r="J993" s="2448"/>
      <c r="K993" s="2448"/>
      <c r="L993" s="2448"/>
      <c r="M993" s="2448"/>
      <c r="N993" s="2448"/>
      <c r="O993" s="2448"/>
      <c r="P993" s="2448"/>
      <c r="Q993" s="2448"/>
      <c r="R993" s="2448"/>
      <c r="S993" s="2448"/>
      <c r="T993" s="2448"/>
      <c r="U993" s="2448"/>
      <c r="V993" s="2448"/>
      <c r="W993" s="2448"/>
      <c r="X993" s="2448"/>
      <c r="Y993" s="2448"/>
      <c r="Z993" s="2448"/>
      <c r="AA993" s="2448"/>
      <c r="AB993" s="2448"/>
      <c r="AC993" s="2448"/>
      <c r="AD993" s="2448"/>
      <c r="AE993" s="2449"/>
      <c r="AF993" s="110"/>
      <c r="AG993" s="25"/>
      <c r="AH993" s="25"/>
      <c r="AI993" s="112"/>
      <c r="AJ993" s="2484"/>
      <c r="AK993" s="2149"/>
      <c r="AL993" s="2149"/>
      <c r="AM993" s="2149"/>
      <c r="AN993" s="2149"/>
      <c r="AO993" s="2149"/>
      <c r="AP993" s="2149"/>
      <c r="AQ993" s="2485"/>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60"/>
      <c r="E994" s="2461"/>
      <c r="F994" s="2461"/>
      <c r="G994" s="2461"/>
      <c r="H994" s="2461"/>
      <c r="I994" s="2461"/>
      <c r="J994" s="2461"/>
      <c r="K994" s="2461"/>
      <c r="L994" s="2461"/>
      <c r="M994" s="2461"/>
      <c r="N994" s="2461"/>
      <c r="O994" s="2461"/>
      <c r="P994" s="2461"/>
      <c r="Q994" s="2461"/>
      <c r="R994" s="2461"/>
      <c r="S994" s="2461"/>
      <c r="T994" s="2461"/>
      <c r="U994" s="2461"/>
      <c r="V994" s="2461"/>
      <c r="W994" s="2461"/>
      <c r="X994" s="2461"/>
      <c r="Y994" s="2461"/>
      <c r="Z994" s="2461"/>
      <c r="AA994" s="2461"/>
      <c r="AB994" s="2461"/>
      <c r="AC994" s="2461"/>
      <c r="AD994" s="2461"/>
      <c r="AE994" s="2462"/>
      <c r="AF994" s="115"/>
      <c r="AG994" s="11"/>
      <c r="AH994" s="11"/>
      <c r="AI994" s="116"/>
      <c r="AJ994" s="2486"/>
      <c r="AK994" s="2487"/>
      <c r="AL994" s="2487"/>
      <c r="AM994" s="2487"/>
      <c r="AN994" s="2487"/>
      <c r="AO994" s="2487"/>
      <c r="AP994" s="2487"/>
      <c r="AQ994" s="2488"/>
      <c r="AR994" s="1582"/>
      <c r="AS994" s="1582"/>
      <c r="AT994" s="1582"/>
      <c r="AU994" s="1582"/>
      <c r="AV994" s="1582"/>
      <c r="AW994" s="1582"/>
      <c r="AX994" s="1582"/>
      <c r="AY994" s="1582"/>
    </row>
    <row r="995" spans="1:96" s="718" customFormat="1" ht="12.75" customHeight="1">
      <c r="A995" s="51"/>
      <c r="B995" s="117"/>
      <c r="C995" s="118" t="s">
        <v>223</v>
      </c>
      <c r="D995" s="2492" t="s">
        <v>1533</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56" t="s">
        <v>705</v>
      </c>
      <c r="AH995" s="2457"/>
      <c r="AI995" s="125"/>
      <c r="AJ995" s="2481">
        <f>IF(AG995="yes",AJ975*BA995,0)</f>
        <v>0</v>
      </c>
      <c r="AK995" s="2482"/>
      <c r="AL995" s="2482"/>
      <c r="AM995" s="2482"/>
      <c r="AN995" s="2482"/>
      <c r="AO995" s="2482"/>
      <c r="AP995" s="2482"/>
      <c r="AQ995" s="2483"/>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7" t="s">
        <v>1534</v>
      </c>
      <c r="E996" s="2448"/>
      <c r="F996" s="2448"/>
      <c r="G996" s="2448"/>
      <c r="H996" s="2448"/>
      <c r="I996" s="2448"/>
      <c r="J996" s="2448"/>
      <c r="K996" s="2448"/>
      <c r="L996" s="2448"/>
      <c r="M996" s="2448"/>
      <c r="N996" s="2448"/>
      <c r="O996" s="2448"/>
      <c r="P996" s="2448"/>
      <c r="Q996" s="2448"/>
      <c r="R996" s="2448"/>
      <c r="S996" s="2448"/>
      <c r="T996" s="2448"/>
      <c r="U996" s="2448"/>
      <c r="V996" s="2448"/>
      <c r="W996" s="2448"/>
      <c r="X996" s="2448"/>
      <c r="Y996" s="2448"/>
      <c r="Z996" s="2448"/>
      <c r="AA996" s="2448"/>
      <c r="AB996" s="2448"/>
      <c r="AC996" s="2448"/>
      <c r="AD996" s="2448"/>
      <c r="AE996" s="2449"/>
      <c r="AF996" s="110"/>
      <c r="AG996" s="112"/>
      <c r="AH996" s="112"/>
      <c r="AI996" s="121"/>
      <c r="AJ996" s="2484"/>
      <c r="AK996" s="2149"/>
      <c r="AL996" s="2149"/>
      <c r="AM996" s="2149"/>
      <c r="AN996" s="2149"/>
      <c r="AO996" s="2149"/>
      <c r="AP996" s="2149"/>
      <c r="AQ996" s="2485"/>
      <c r="AR996" s="1582"/>
      <c r="AS996" s="1582"/>
      <c r="AT996" s="1582"/>
      <c r="AU996" s="1582"/>
      <c r="AV996" s="1582"/>
      <c r="AW996" s="1582"/>
      <c r="AX996" s="1582"/>
      <c r="AY996" s="1582"/>
    </row>
    <row r="997" spans="1:96" ht="12.75" customHeight="1">
      <c r="A997" s="51"/>
      <c r="B997" s="110"/>
      <c r="C997" s="111"/>
      <c r="D997" s="2447"/>
      <c r="E997" s="2448"/>
      <c r="F997" s="2448"/>
      <c r="G997" s="2448"/>
      <c r="H997" s="2448"/>
      <c r="I997" s="2448"/>
      <c r="J997" s="2448"/>
      <c r="K997" s="2448"/>
      <c r="L997" s="2448"/>
      <c r="M997" s="2448"/>
      <c r="N997" s="2448"/>
      <c r="O997" s="2448"/>
      <c r="P997" s="2448"/>
      <c r="Q997" s="2448"/>
      <c r="R997" s="2448"/>
      <c r="S997" s="2448"/>
      <c r="T997" s="2448"/>
      <c r="U997" s="2448"/>
      <c r="V997" s="2448"/>
      <c r="W997" s="2448"/>
      <c r="X997" s="2448"/>
      <c r="Y997" s="2448"/>
      <c r="Z997" s="2448"/>
      <c r="AA997" s="2448"/>
      <c r="AB997" s="2448"/>
      <c r="AC997" s="2448"/>
      <c r="AD997" s="2448"/>
      <c r="AE997" s="2449"/>
      <c r="AF997" s="110"/>
      <c r="AG997" s="112"/>
      <c r="AH997" s="112"/>
      <c r="AI997" s="121"/>
      <c r="AJ997" s="2484"/>
      <c r="AK997" s="2149"/>
      <c r="AL997" s="2149"/>
      <c r="AM997" s="2149"/>
      <c r="AN997" s="2149"/>
      <c r="AO997" s="2149"/>
      <c r="AP997" s="2149"/>
      <c r="AQ997" s="2485"/>
      <c r="AR997" s="1582"/>
      <c r="AS997" s="1582"/>
      <c r="AT997" s="1582"/>
      <c r="AU997" s="1582"/>
      <c r="AV997" s="1582"/>
      <c r="AW997" s="1582"/>
      <c r="AX997" s="1582"/>
      <c r="AY997" s="1582"/>
      <c r="BA997" s="320">
        <f>IF(A1044="Yes",0.05,0)</f>
        <v>0</v>
      </c>
    </row>
    <row r="998" spans="1:96" ht="15" customHeight="1">
      <c r="A998" s="51"/>
      <c r="B998" s="119"/>
      <c r="C998" s="120"/>
      <c r="D998" s="2460"/>
      <c r="E998" s="2461"/>
      <c r="F998" s="2461"/>
      <c r="G998" s="2461"/>
      <c r="H998" s="2461"/>
      <c r="I998" s="2461"/>
      <c r="J998" s="2461"/>
      <c r="K998" s="2461"/>
      <c r="L998" s="2461"/>
      <c r="M998" s="2461"/>
      <c r="N998" s="2461"/>
      <c r="O998" s="2461"/>
      <c r="P998" s="2461"/>
      <c r="Q998" s="2461"/>
      <c r="R998" s="2461"/>
      <c r="S998" s="2461"/>
      <c r="T998" s="2461"/>
      <c r="U998" s="2461"/>
      <c r="V998" s="2461"/>
      <c r="W998" s="2461"/>
      <c r="X998" s="2461"/>
      <c r="Y998" s="2461"/>
      <c r="Z998" s="2461"/>
      <c r="AA998" s="2461"/>
      <c r="AB998" s="2461"/>
      <c r="AC998" s="2461"/>
      <c r="AD998" s="2461"/>
      <c r="AE998" s="2462"/>
      <c r="AF998" s="115"/>
      <c r="AG998" s="11"/>
      <c r="AH998" s="11"/>
      <c r="AI998" s="116"/>
      <c r="AJ998" s="2486"/>
      <c r="AK998" s="2487"/>
      <c r="AL998" s="2487"/>
      <c r="AM998" s="2487"/>
      <c r="AN998" s="2487"/>
      <c r="AO998" s="2487"/>
      <c r="AP998" s="2487"/>
      <c r="AQ998" s="2488"/>
      <c r="AR998" s="1582"/>
      <c r="AS998" s="1582"/>
      <c r="AT998" s="1582"/>
      <c r="AU998" s="1582"/>
      <c r="AV998" s="1582"/>
      <c r="AW998" s="1582"/>
      <c r="AX998" s="1582"/>
      <c r="AY998" s="1582"/>
      <c r="BA998" s="320">
        <f>IF(A1050="Yes",0.02,0)</f>
        <v>0</v>
      </c>
    </row>
    <row r="999" spans="1:96" s="718" customFormat="1" ht="15" customHeight="1">
      <c r="A999" s="51"/>
      <c r="B999" s="117"/>
      <c r="C999" s="118" t="s">
        <v>228</v>
      </c>
      <c r="D999" s="2544" t="s">
        <v>1535</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56" t="s">
        <v>705</v>
      </c>
      <c r="AH999" s="2457"/>
      <c r="AI999" s="125"/>
      <c r="AJ999" s="2511"/>
      <c r="AK999" s="2512"/>
      <c r="AL999" s="2512"/>
      <c r="AM999" s="2512"/>
      <c r="AN999" s="2512"/>
      <c r="AO999" s="2512"/>
      <c r="AP999" s="2512"/>
      <c r="AQ999" s="2513"/>
      <c r="AR999" s="1582"/>
      <c r="AS999" s="1582"/>
      <c r="AT999" s="1582"/>
      <c r="AU999" s="1582"/>
      <c r="AV999" s="1582"/>
      <c r="AW999" s="1582"/>
      <c r="AX999" s="1582"/>
      <c r="AY999" s="1582"/>
      <c r="BA999" s="320">
        <f>IF(A1056="Yes",0.04,0)</f>
        <v>0</v>
      </c>
      <c r="CR999" s="25"/>
    </row>
    <row r="1000" spans="1:96" ht="12.5">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4"/>
      <c r="AK1000" s="2515"/>
      <c r="AL1000" s="2515"/>
      <c r="AM1000" s="2515"/>
      <c r="AN1000" s="2515"/>
      <c r="AO1000" s="2515"/>
      <c r="AP1000" s="2515"/>
      <c r="AQ1000" s="2516"/>
      <c r="AR1000" s="1582"/>
      <c r="AS1000" s="1582"/>
      <c r="AT1000" s="1582"/>
      <c r="AU1000" s="1582"/>
      <c r="AV1000" s="1582"/>
      <c r="AW1000" s="1582"/>
      <c r="AX1000" s="1582"/>
      <c r="AY1000" s="1582"/>
      <c r="BA1000" s="320">
        <f>IF(A1063="Yes",0.04,0)</f>
        <v>0</v>
      </c>
    </row>
    <row r="1001" spans="1:96" ht="12.75" customHeight="1">
      <c r="A1001" s="51"/>
      <c r="B1001" s="119"/>
      <c r="C1001" s="122"/>
      <c r="D1001" s="2447" t="s">
        <v>1536</v>
      </c>
      <c r="E1001" s="2448"/>
      <c r="F1001" s="2448"/>
      <c r="G1001" s="2448"/>
      <c r="H1001" s="2448"/>
      <c r="I1001" s="2448"/>
      <c r="J1001" s="2448"/>
      <c r="K1001" s="2448"/>
      <c r="L1001" s="2448"/>
      <c r="M1001" s="2448"/>
      <c r="N1001" s="2448"/>
      <c r="O1001" s="2448"/>
      <c r="P1001" s="2448"/>
      <c r="Q1001" s="2448"/>
      <c r="R1001" s="2448"/>
      <c r="S1001" s="2448"/>
      <c r="T1001" s="2448"/>
      <c r="U1001" s="2448"/>
      <c r="V1001" s="2448"/>
      <c r="W1001" s="2448"/>
      <c r="X1001" s="2448"/>
      <c r="Y1001" s="2448"/>
      <c r="Z1001" s="2448"/>
      <c r="AA1001" s="2448"/>
      <c r="AB1001" s="2448"/>
      <c r="AC1001" s="2448"/>
      <c r="AD1001" s="2448"/>
      <c r="AE1001" s="2449"/>
      <c r="AF1001" s="2532"/>
      <c r="AG1001" s="2533"/>
      <c r="AH1001" s="2533"/>
      <c r="AI1001" s="2534"/>
      <c r="AJ1001" s="2514"/>
      <c r="AK1001" s="2515"/>
      <c r="AL1001" s="2515"/>
      <c r="AM1001" s="2515"/>
      <c r="AN1001" s="2515"/>
      <c r="AO1001" s="2515"/>
      <c r="AP1001" s="2515"/>
      <c r="AQ1001" s="2516"/>
      <c r="AR1001" s="1582"/>
      <c r="AS1001" s="1582"/>
      <c r="AT1001" s="1582"/>
      <c r="AU1001" s="1582"/>
      <c r="AV1001" s="1582"/>
      <c r="AW1001" s="1582"/>
      <c r="AX1001" s="1582"/>
      <c r="AY1001" s="1582"/>
      <c r="BA1001" s="320">
        <f>IF(A1066="Yes",0.01,0)</f>
        <v>0</v>
      </c>
    </row>
    <row r="1002" spans="1:96" ht="12.75" customHeight="1">
      <c r="A1002" s="51"/>
      <c r="B1002" s="119"/>
      <c r="C1002" s="122"/>
      <c r="D1002" s="2447"/>
      <c r="E1002" s="2448"/>
      <c r="F1002" s="2448"/>
      <c r="G1002" s="2448"/>
      <c r="H1002" s="2448"/>
      <c r="I1002" s="2448"/>
      <c r="J1002" s="2448"/>
      <c r="K1002" s="2448"/>
      <c r="L1002" s="2448"/>
      <c r="M1002" s="2448"/>
      <c r="N1002" s="2448"/>
      <c r="O1002" s="2448"/>
      <c r="P1002" s="2448"/>
      <c r="Q1002" s="2448"/>
      <c r="R1002" s="2448"/>
      <c r="S1002" s="2448"/>
      <c r="T1002" s="2448"/>
      <c r="U1002" s="2448"/>
      <c r="V1002" s="2448"/>
      <c r="W1002" s="2448"/>
      <c r="X1002" s="2448"/>
      <c r="Y1002" s="2448"/>
      <c r="Z1002" s="2448"/>
      <c r="AA1002" s="2448"/>
      <c r="AB1002" s="2448"/>
      <c r="AC1002" s="2448"/>
      <c r="AD1002" s="2448"/>
      <c r="AE1002" s="2449"/>
      <c r="AF1002" s="2532"/>
      <c r="AG1002" s="2533"/>
      <c r="AH1002" s="2533"/>
      <c r="AI1002" s="2534"/>
      <c r="AJ1002" s="2514"/>
      <c r="AK1002" s="2515"/>
      <c r="AL1002" s="2515"/>
      <c r="AM1002" s="2515"/>
      <c r="AN1002" s="2515"/>
      <c r="AO1002" s="2515"/>
      <c r="AP1002" s="2515"/>
      <c r="AQ1002" s="2516"/>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368</v>
      </c>
      <c r="E1003" s="133"/>
      <c r="F1003" s="133"/>
      <c r="G1003" s="160"/>
      <c r="H1003" s="160"/>
      <c r="I1003" s="81"/>
      <c r="J1003" s="2550" t="s">
        <v>625</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7"/>
      <c r="AK1003" s="2518"/>
      <c r="AL1003" s="2518"/>
      <c r="AM1003" s="2518"/>
      <c r="AN1003" s="2518"/>
      <c r="AO1003" s="2518"/>
      <c r="AP1003" s="2518"/>
      <c r="AQ1003" s="2519"/>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444" t="s">
        <v>1537</v>
      </c>
      <c r="E1004" s="2445"/>
      <c r="F1004" s="2445"/>
      <c r="G1004" s="2445"/>
      <c r="H1004" s="2445"/>
      <c r="I1004" s="2445"/>
      <c r="J1004" s="2445"/>
      <c r="K1004" s="2445"/>
      <c r="L1004" s="2445"/>
      <c r="M1004" s="2445"/>
      <c r="N1004" s="2445"/>
      <c r="O1004" s="2445"/>
      <c r="P1004" s="2445"/>
      <c r="Q1004" s="2445"/>
      <c r="R1004" s="2445"/>
      <c r="S1004" s="2445"/>
      <c r="T1004" s="2445"/>
      <c r="U1004" s="2445"/>
      <c r="V1004" s="2445"/>
      <c r="W1004" s="2445"/>
      <c r="X1004" s="2445"/>
      <c r="Y1004" s="2445"/>
      <c r="Z1004" s="2445"/>
      <c r="AA1004" s="2445"/>
      <c r="AB1004" s="2445"/>
      <c r="AC1004" s="2445"/>
      <c r="AD1004" s="2445"/>
      <c r="AE1004" s="2446"/>
      <c r="AF1004" s="117"/>
      <c r="AG1004" s="2456" t="s">
        <v>577</v>
      </c>
      <c r="AH1004" s="2457"/>
      <c r="AI1004" s="125"/>
      <c r="AJ1004" s="2511">
        <v>186868</v>
      </c>
      <c r="AK1004" s="2512"/>
      <c r="AL1004" s="2512"/>
      <c r="AM1004" s="2512"/>
      <c r="AN1004" s="2512"/>
      <c r="AO1004" s="2512"/>
      <c r="AP1004" s="2512"/>
      <c r="AQ1004" s="2513"/>
      <c r="AR1004" s="1582"/>
      <c r="AS1004" s="1582"/>
      <c r="AT1004" s="1582"/>
      <c r="AU1004" s="1582"/>
      <c r="AV1004" s="1582"/>
      <c r="AW1004" s="1582"/>
      <c r="AX1004" s="1582"/>
      <c r="AY1004" s="1582"/>
      <c r="BA1004" s="320">
        <f>IF(A1078="Yes",0.02,0)</f>
        <v>0</v>
      </c>
    </row>
    <row r="1005" spans="1:96" ht="12.75" customHeight="1">
      <c r="A1005" s="51"/>
      <c r="B1005" s="110"/>
      <c r="C1005" s="111"/>
      <c r="D1005" s="2447" t="s">
        <v>2176</v>
      </c>
      <c r="E1005" s="2448"/>
      <c r="F1005" s="2448"/>
      <c r="G1005" s="2448"/>
      <c r="H1005" s="2448"/>
      <c r="I1005" s="2448"/>
      <c r="J1005" s="2448"/>
      <c r="K1005" s="2448"/>
      <c r="L1005" s="2448"/>
      <c r="M1005" s="2448"/>
      <c r="N1005" s="2448"/>
      <c r="O1005" s="2448"/>
      <c r="P1005" s="2448"/>
      <c r="Q1005" s="2448"/>
      <c r="R1005" s="2448"/>
      <c r="S1005" s="2448"/>
      <c r="T1005" s="2448"/>
      <c r="U1005" s="2448"/>
      <c r="V1005" s="2448"/>
      <c r="W1005" s="2448"/>
      <c r="X1005" s="2448"/>
      <c r="Y1005" s="2448"/>
      <c r="Z1005" s="2448"/>
      <c r="AA1005" s="2448"/>
      <c r="AB1005" s="2448"/>
      <c r="AC1005" s="2448"/>
      <c r="AD1005" s="2448"/>
      <c r="AE1005" s="2449"/>
      <c r="AF1005" s="2538" t="str">
        <f>IF(AG1004="yes","Please Enter Amount:",0)</f>
        <v>Please Enter Amount:</v>
      </c>
      <c r="AG1005" s="2539"/>
      <c r="AH1005" s="2539"/>
      <c r="AI1005" s="2540"/>
      <c r="AJ1005" s="2514"/>
      <c r="AK1005" s="2515"/>
      <c r="AL1005" s="2515"/>
      <c r="AM1005" s="2515"/>
      <c r="AN1005" s="2515"/>
      <c r="AO1005" s="2515"/>
      <c r="AP1005" s="2515"/>
      <c r="AQ1005" s="2516"/>
      <c r="AR1005" s="1582"/>
      <c r="AS1005" s="1582"/>
      <c r="AT1005" s="1582"/>
      <c r="AU1005" s="1582"/>
      <c r="AV1005" s="1582"/>
      <c r="AW1005" s="1582"/>
      <c r="AX1005" s="1582"/>
      <c r="AY1005" s="1582"/>
      <c r="BA1005" s="321">
        <f>IF(A1082="Yes",0.02,0)</f>
        <v>0</v>
      </c>
    </row>
    <row r="1006" spans="1:96" ht="12.75" customHeight="1">
      <c r="A1006" s="51"/>
      <c r="B1006" s="110"/>
      <c r="C1006" s="111"/>
      <c r="D1006" s="2447"/>
      <c r="E1006" s="2448"/>
      <c r="F1006" s="2448"/>
      <c r="G1006" s="2448"/>
      <c r="H1006" s="2448"/>
      <c r="I1006" s="2448"/>
      <c r="J1006" s="2448"/>
      <c r="K1006" s="2448"/>
      <c r="L1006" s="2448"/>
      <c r="M1006" s="2448"/>
      <c r="N1006" s="2448"/>
      <c r="O1006" s="2448"/>
      <c r="P1006" s="2448"/>
      <c r="Q1006" s="2448"/>
      <c r="R1006" s="2448"/>
      <c r="S1006" s="2448"/>
      <c r="T1006" s="2448"/>
      <c r="U1006" s="2448"/>
      <c r="V1006" s="2448"/>
      <c r="W1006" s="2448"/>
      <c r="X1006" s="2448"/>
      <c r="Y1006" s="2448"/>
      <c r="Z1006" s="2448"/>
      <c r="AA1006" s="2448"/>
      <c r="AB1006" s="2448"/>
      <c r="AC1006" s="2448"/>
      <c r="AD1006" s="2448"/>
      <c r="AE1006" s="2449"/>
      <c r="AF1006" s="2538"/>
      <c r="AG1006" s="2539"/>
      <c r="AH1006" s="2539"/>
      <c r="AI1006" s="2540"/>
      <c r="AJ1006" s="2514"/>
      <c r="AK1006" s="2515"/>
      <c r="AL1006" s="2515"/>
      <c r="AM1006" s="2515"/>
      <c r="AN1006" s="2515"/>
      <c r="AO1006" s="2515"/>
      <c r="AP1006" s="2515"/>
      <c r="AQ1006" s="2516"/>
      <c r="AR1006" s="1582"/>
      <c r="AS1006" s="1582"/>
      <c r="AT1006" s="1582"/>
      <c r="AU1006" s="1582"/>
      <c r="AV1006" s="1582"/>
      <c r="AW1006" s="1582"/>
      <c r="AX1006" s="1582"/>
      <c r="AY1006" s="1582"/>
    </row>
    <row r="1007" spans="1:96" ht="12.75" customHeight="1">
      <c r="A1007" s="51"/>
      <c r="B1007" s="123"/>
      <c r="C1007" s="122"/>
      <c r="D1007" s="2460"/>
      <c r="E1007" s="2461"/>
      <c r="F1007" s="2461"/>
      <c r="G1007" s="2461"/>
      <c r="H1007" s="2461"/>
      <c r="I1007" s="2461"/>
      <c r="J1007" s="2461"/>
      <c r="K1007" s="2461"/>
      <c r="L1007" s="2461"/>
      <c r="M1007" s="2461"/>
      <c r="N1007" s="2461"/>
      <c r="O1007" s="2461"/>
      <c r="P1007" s="2461"/>
      <c r="Q1007" s="2461"/>
      <c r="R1007" s="2461"/>
      <c r="S1007" s="2461"/>
      <c r="T1007" s="2461"/>
      <c r="U1007" s="2461"/>
      <c r="V1007" s="2461"/>
      <c r="W1007" s="2461"/>
      <c r="X1007" s="2461"/>
      <c r="Y1007" s="2461"/>
      <c r="Z1007" s="2461"/>
      <c r="AA1007" s="2461"/>
      <c r="AB1007" s="2461"/>
      <c r="AC1007" s="2461"/>
      <c r="AD1007" s="2461"/>
      <c r="AE1007" s="2462"/>
      <c r="AF1007" s="2541"/>
      <c r="AG1007" s="2542"/>
      <c r="AH1007" s="2542"/>
      <c r="AI1007" s="2543"/>
      <c r="AJ1007" s="2517"/>
      <c r="AK1007" s="2518"/>
      <c r="AL1007" s="2518"/>
      <c r="AM1007" s="2518"/>
      <c r="AN1007" s="2518"/>
      <c r="AO1007" s="2518"/>
      <c r="AP1007" s="2518"/>
      <c r="AQ1007" s="2519"/>
      <c r="AR1007" s="1582"/>
      <c r="AS1007" s="1582"/>
      <c r="AT1007" s="1582"/>
      <c r="AU1007" s="1582"/>
      <c r="AV1007" s="1582"/>
      <c r="AW1007" s="1582"/>
      <c r="AX1007" s="1582"/>
      <c r="AY1007" s="1582"/>
    </row>
    <row r="1008" spans="1:96" s="718" customFormat="1" ht="12.75" customHeight="1">
      <c r="A1008" s="51"/>
      <c r="B1008" s="117"/>
      <c r="C1008" s="118" t="s">
        <v>239</v>
      </c>
      <c r="D1008" s="2492" t="s">
        <v>1538</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56" t="s">
        <v>577</v>
      </c>
      <c r="AH1008" s="2457"/>
      <c r="AI1008" s="125"/>
      <c r="AJ1008" s="2481">
        <f>ROUND(IF(AG1008="yes",(AJ975*0.1),0),0)</f>
        <v>2925663</v>
      </c>
      <c r="AK1008" s="2482"/>
      <c r="AL1008" s="2482"/>
      <c r="AM1008" s="2482"/>
      <c r="AN1008" s="2482"/>
      <c r="AO1008" s="2482"/>
      <c r="AP1008" s="2482"/>
      <c r="AQ1008" s="2483"/>
      <c r="AR1008" s="1582"/>
      <c r="AS1008" s="1582"/>
      <c r="AT1008" s="1582"/>
      <c r="AU1008" s="1582"/>
      <c r="AV1008" s="1582"/>
      <c r="AW1008" s="1582"/>
      <c r="AX1008" s="1582"/>
      <c r="AY1008" s="1582"/>
      <c r="CR1008" s="25"/>
    </row>
    <row r="1009" spans="1:96" ht="12.75" customHeight="1">
      <c r="A1009" s="51"/>
      <c r="B1009" s="110"/>
      <c r="C1009" s="111"/>
      <c r="D1009" s="2447" t="s">
        <v>1539</v>
      </c>
      <c r="E1009" s="2448"/>
      <c r="F1009" s="2448"/>
      <c r="G1009" s="2448"/>
      <c r="H1009" s="2448"/>
      <c r="I1009" s="2448"/>
      <c r="J1009" s="2448"/>
      <c r="K1009" s="2448"/>
      <c r="L1009" s="2448"/>
      <c r="M1009" s="2448"/>
      <c r="N1009" s="2448"/>
      <c r="O1009" s="2448"/>
      <c r="P1009" s="2448"/>
      <c r="Q1009" s="2448"/>
      <c r="R1009" s="2448"/>
      <c r="S1009" s="2448"/>
      <c r="T1009" s="2448"/>
      <c r="U1009" s="2448"/>
      <c r="V1009" s="2448"/>
      <c r="W1009" s="2448"/>
      <c r="X1009" s="2448"/>
      <c r="Y1009" s="2448"/>
      <c r="Z1009" s="2448"/>
      <c r="AA1009" s="2448"/>
      <c r="AB1009" s="2448"/>
      <c r="AC1009" s="2448"/>
      <c r="AD1009" s="2448"/>
      <c r="AE1009" s="2449"/>
      <c r="AF1009" s="110"/>
      <c r="AG1009" s="112"/>
      <c r="AH1009" s="112"/>
      <c r="AI1009" s="121"/>
      <c r="AJ1009" s="2484"/>
      <c r="AK1009" s="2149"/>
      <c r="AL1009" s="2149"/>
      <c r="AM1009" s="2149"/>
      <c r="AN1009" s="2149"/>
      <c r="AO1009" s="2149"/>
      <c r="AP1009" s="2149"/>
      <c r="AQ1009" s="2485"/>
      <c r="AR1009" s="1582"/>
      <c r="AS1009" s="1582"/>
      <c r="AT1009" s="1582"/>
      <c r="AU1009" s="1582"/>
      <c r="AV1009" s="1582"/>
      <c r="AW1009" s="1582"/>
      <c r="AX1009" s="1582"/>
      <c r="AY1009" s="1582"/>
    </row>
    <row r="1010" spans="1:96" ht="12.75" customHeight="1">
      <c r="A1010" s="51"/>
      <c r="B1010" s="115"/>
      <c r="C1010" s="111"/>
      <c r="D1010" s="2460"/>
      <c r="E1010" s="2461"/>
      <c r="F1010" s="2461"/>
      <c r="G1010" s="2461"/>
      <c r="H1010" s="2461"/>
      <c r="I1010" s="2461"/>
      <c r="J1010" s="2461"/>
      <c r="K1010" s="2461"/>
      <c r="L1010" s="2461"/>
      <c r="M1010" s="2461"/>
      <c r="N1010" s="2461"/>
      <c r="O1010" s="2461"/>
      <c r="P1010" s="2461"/>
      <c r="Q1010" s="2461"/>
      <c r="R1010" s="2461"/>
      <c r="S1010" s="2461"/>
      <c r="T1010" s="2461"/>
      <c r="U1010" s="2461"/>
      <c r="V1010" s="2461"/>
      <c r="W1010" s="2461"/>
      <c r="X1010" s="2461"/>
      <c r="Y1010" s="2461"/>
      <c r="Z1010" s="2461"/>
      <c r="AA1010" s="2461"/>
      <c r="AB1010" s="2461"/>
      <c r="AC1010" s="2461"/>
      <c r="AD1010" s="2461"/>
      <c r="AE1010" s="2462"/>
      <c r="AF1010" s="110"/>
      <c r="AG1010" s="112"/>
      <c r="AH1010" s="112"/>
      <c r="AI1010" s="121"/>
      <c r="AJ1010" s="2486"/>
      <c r="AK1010" s="2487"/>
      <c r="AL1010" s="2487"/>
      <c r="AM1010" s="2487"/>
      <c r="AN1010" s="2487"/>
      <c r="AO1010" s="2487"/>
      <c r="AP1010" s="2487"/>
      <c r="AQ1010" s="2488"/>
      <c r="AR1010" s="1582"/>
      <c r="AS1010" s="1582"/>
      <c r="AT1010" s="1582"/>
      <c r="AU1010" s="1582"/>
      <c r="AV1010" s="1582"/>
      <c r="AW1010" s="1582"/>
      <c r="AX1010" s="1582"/>
      <c r="AY1010" s="1582"/>
    </row>
    <row r="1011" spans="1:96" s="718" customFormat="1" ht="12.75" customHeight="1">
      <c r="A1011" s="51"/>
      <c r="B1011" s="110"/>
      <c r="C1011" s="530" t="s">
        <v>724</v>
      </c>
      <c r="D1011" s="2444" t="s">
        <v>2172</v>
      </c>
      <c r="E1011" s="2445"/>
      <c r="F1011" s="2445"/>
      <c r="G1011" s="2445"/>
      <c r="H1011" s="2445"/>
      <c r="I1011" s="2445"/>
      <c r="J1011" s="2445"/>
      <c r="K1011" s="2445"/>
      <c r="L1011" s="2445"/>
      <c r="M1011" s="2445"/>
      <c r="N1011" s="2445"/>
      <c r="O1011" s="2445"/>
      <c r="P1011" s="2445"/>
      <c r="Q1011" s="2445"/>
      <c r="R1011" s="2445"/>
      <c r="S1011" s="2445"/>
      <c r="T1011" s="2445"/>
      <c r="U1011" s="2445"/>
      <c r="V1011" s="2445"/>
      <c r="W1011" s="2445"/>
      <c r="X1011" s="2445"/>
      <c r="Y1011" s="2445"/>
      <c r="Z1011" s="2445"/>
      <c r="AA1011" s="2445"/>
      <c r="AB1011" s="2445"/>
      <c r="AC1011" s="2445"/>
      <c r="AD1011" s="2445"/>
      <c r="AE1011" s="2446"/>
      <c r="AF1011" s="117"/>
      <c r="AG1011" s="2456" t="s">
        <v>705</v>
      </c>
      <c r="AH1011" s="2457"/>
      <c r="AI1011" s="125"/>
      <c r="AJ1011" s="2481">
        <f>ROUND(IF(AG1011="yes",(AJ975*0.15),0),0)</f>
        <v>0</v>
      </c>
      <c r="AK1011" s="2482"/>
      <c r="AL1011" s="2482"/>
      <c r="AM1011" s="2482"/>
      <c r="AN1011" s="2482"/>
      <c r="AO1011" s="2482"/>
      <c r="AP1011" s="2482"/>
      <c r="AQ1011" s="2483"/>
      <c r="AR1011" s="1582"/>
      <c r="AS1011" s="1582"/>
      <c r="AT1011" s="1582"/>
      <c r="AU1011" s="1582"/>
      <c r="AV1011" s="1582"/>
      <c r="AW1011" s="1582"/>
      <c r="AX1011" s="1582"/>
      <c r="AY1011" s="1582"/>
      <c r="CR1011" s="25"/>
    </row>
    <row r="1012" spans="1:96" s="718" customFormat="1" ht="12.75" customHeight="1">
      <c r="A1012" s="51"/>
      <c r="B1012" s="110"/>
      <c r="C1012" s="111"/>
      <c r="D1012" s="2475" t="s">
        <v>2173</v>
      </c>
      <c r="E1012" s="2476"/>
      <c r="F1012" s="2476"/>
      <c r="G1012" s="2476"/>
      <c r="H1012" s="2476"/>
      <c r="I1012" s="2476"/>
      <c r="J1012" s="2476"/>
      <c r="K1012" s="2476"/>
      <c r="L1012" s="2476"/>
      <c r="M1012" s="2476"/>
      <c r="N1012" s="2476"/>
      <c r="O1012" s="2476"/>
      <c r="P1012" s="2476"/>
      <c r="Q1012" s="2476"/>
      <c r="R1012" s="2476"/>
      <c r="S1012" s="2476"/>
      <c r="T1012" s="2476"/>
      <c r="U1012" s="2476"/>
      <c r="V1012" s="2476"/>
      <c r="W1012" s="2476"/>
      <c r="X1012" s="2476"/>
      <c r="Y1012" s="2476"/>
      <c r="Z1012" s="2476"/>
      <c r="AA1012" s="2476"/>
      <c r="AB1012" s="2476"/>
      <c r="AC1012" s="2476"/>
      <c r="AD1012" s="2476"/>
      <c r="AE1012" s="2477"/>
      <c r="AF1012" s="1612"/>
      <c r="AG1012" s="1613"/>
      <c r="AH1012" s="1613"/>
      <c r="AI1012" s="1614"/>
      <c r="AJ1012" s="2484"/>
      <c r="AK1012" s="2149"/>
      <c r="AL1012" s="2149"/>
      <c r="AM1012" s="2149"/>
      <c r="AN1012" s="2149"/>
      <c r="AO1012" s="2149"/>
      <c r="AP1012" s="2149"/>
      <c r="AQ1012" s="2485"/>
      <c r="AR1012" s="1582"/>
      <c r="AS1012" s="1582"/>
      <c r="AT1012" s="1582"/>
      <c r="AU1012" s="1582"/>
      <c r="AV1012" s="1582"/>
      <c r="AW1012" s="1582"/>
      <c r="AX1012" s="1582"/>
      <c r="AY1012" s="1582"/>
      <c r="CR1012" s="25"/>
    </row>
    <row r="1013" spans="1:96" s="718" customFormat="1" ht="12.75" customHeight="1">
      <c r="A1013" s="51"/>
      <c r="B1013" s="110"/>
      <c r="C1013" s="111"/>
      <c r="D1013" s="2475"/>
      <c r="E1013" s="2476"/>
      <c r="F1013" s="2476"/>
      <c r="G1013" s="2476"/>
      <c r="H1013" s="2476"/>
      <c r="I1013" s="2476"/>
      <c r="J1013" s="2476"/>
      <c r="K1013" s="2476"/>
      <c r="L1013" s="2476"/>
      <c r="M1013" s="2476"/>
      <c r="N1013" s="2476"/>
      <c r="O1013" s="2476"/>
      <c r="P1013" s="2476"/>
      <c r="Q1013" s="2476"/>
      <c r="R1013" s="2476"/>
      <c r="S1013" s="2476"/>
      <c r="T1013" s="2476"/>
      <c r="U1013" s="2476"/>
      <c r="V1013" s="2476"/>
      <c r="W1013" s="2476"/>
      <c r="X1013" s="2476"/>
      <c r="Y1013" s="2476"/>
      <c r="Z1013" s="2476"/>
      <c r="AA1013" s="2476"/>
      <c r="AB1013" s="2476"/>
      <c r="AC1013" s="2476"/>
      <c r="AD1013" s="2476"/>
      <c r="AE1013" s="2477"/>
      <c r="AF1013" s="1612"/>
      <c r="AG1013" s="1613"/>
      <c r="AH1013" s="1613"/>
      <c r="AI1013" s="1614"/>
      <c r="AJ1013" s="2484"/>
      <c r="AK1013" s="2149"/>
      <c r="AL1013" s="2149"/>
      <c r="AM1013" s="2149"/>
      <c r="AN1013" s="2149"/>
      <c r="AO1013" s="2149"/>
      <c r="AP1013" s="2149"/>
      <c r="AQ1013" s="2485"/>
      <c r="AR1013" s="1582"/>
      <c r="AS1013" s="1582"/>
      <c r="AT1013" s="1582"/>
      <c r="AU1013" s="1582"/>
      <c r="AV1013" s="1582"/>
      <c r="AW1013" s="1582"/>
      <c r="AX1013" s="1582"/>
      <c r="AY1013" s="1582"/>
      <c r="CR1013" s="25"/>
    </row>
    <row r="1014" spans="1:96" s="718" customFormat="1" ht="12.75" customHeight="1">
      <c r="A1014" s="51"/>
      <c r="B1014" s="110"/>
      <c r="C1014" s="111"/>
      <c r="D1014" s="2478"/>
      <c r="E1014" s="2479"/>
      <c r="F1014" s="2479"/>
      <c r="G1014" s="2479"/>
      <c r="H1014" s="2479"/>
      <c r="I1014" s="2479"/>
      <c r="J1014" s="2479"/>
      <c r="K1014" s="2479"/>
      <c r="L1014" s="2479"/>
      <c r="M1014" s="2479"/>
      <c r="N1014" s="2479"/>
      <c r="O1014" s="2479"/>
      <c r="P1014" s="2479"/>
      <c r="Q1014" s="2479"/>
      <c r="R1014" s="2479"/>
      <c r="S1014" s="2479"/>
      <c r="T1014" s="2479"/>
      <c r="U1014" s="2479"/>
      <c r="V1014" s="2479"/>
      <c r="W1014" s="2479"/>
      <c r="X1014" s="2479"/>
      <c r="Y1014" s="2479"/>
      <c r="Z1014" s="2479"/>
      <c r="AA1014" s="2479"/>
      <c r="AB1014" s="2479"/>
      <c r="AC1014" s="2479"/>
      <c r="AD1014" s="2479"/>
      <c r="AE1014" s="2480"/>
      <c r="AF1014" s="1615"/>
      <c r="AG1014" s="1616"/>
      <c r="AH1014" s="1616"/>
      <c r="AI1014" s="1617"/>
      <c r="AJ1014" s="2486"/>
      <c r="AK1014" s="2487"/>
      <c r="AL1014" s="2487"/>
      <c r="AM1014" s="2487"/>
      <c r="AN1014" s="2487"/>
      <c r="AO1014" s="2487"/>
      <c r="AP1014" s="2487"/>
      <c r="AQ1014" s="2488"/>
      <c r="AR1014" s="1582"/>
      <c r="AS1014" s="1582"/>
      <c r="AT1014" s="1582"/>
      <c r="AU1014" s="1582"/>
      <c r="AV1014" s="1582"/>
      <c r="AW1014" s="1582"/>
      <c r="AX1014" s="1582"/>
      <c r="AY1014" s="1582"/>
      <c r="CR1014" s="25"/>
    </row>
    <row r="1015" spans="1:96" s="718" customFormat="1" ht="12.75" customHeight="1">
      <c r="A1015" s="51"/>
      <c r="B1015" s="110"/>
      <c r="C1015" s="530" t="s">
        <v>724</v>
      </c>
      <c r="D1015" s="2492" t="s">
        <v>2174</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58" t="s">
        <v>705</v>
      </c>
      <c r="AH1015" s="2459"/>
      <c r="AI1015" s="121"/>
      <c r="AJ1015" s="2481">
        <f>ROUND(IF(AG1015="yes",(AJ975*0.1),0),0)</f>
        <v>0</v>
      </c>
      <c r="AK1015" s="2482"/>
      <c r="AL1015" s="2482"/>
      <c r="AM1015" s="2482"/>
      <c r="AN1015" s="2482"/>
      <c r="AO1015" s="2482"/>
      <c r="AP1015" s="2482"/>
      <c r="AQ1015" s="2483"/>
      <c r="AR1015" s="1582"/>
      <c r="AS1015" s="1582"/>
      <c r="AT1015" s="1582"/>
      <c r="AU1015" s="1582"/>
      <c r="AV1015" s="1582"/>
      <c r="AW1015" s="1582"/>
      <c r="AX1015" s="1582"/>
      <c r="AY1015" s="1582"/>
      <c r="CR1015" s="25"/>
    </row>
    <row r="1016" spans="1:96" s="718" customFormat="1" ht="12.75" customHeight="1">
      <c r="A1016" s="51"/>
      <c r="B1016" s="110"/>
      <c r="C1016" s="111"/>
      <c r="D1016" s="2475" t="s">
        <v>2175</v>
      </c>
      <c r="E1016" s="2476"/>
      <c r="F1016" s="2476"/>
      <c r="G1016" s="2476"/>
      <c r="H1016" s="2476"/>
      <c r="I1016" s="2476"/>
      <c r="J1016" s="2476"/>
      <c r="K1016" s="2476"/>
      <c r="L1016" s="2476"/>
      <c r="M1016" s="2476"/>
      <c r="N1016" s="2476"/>
      <c r="O1016" s="2476"/>
      <c r="P1016" s="2476"/>
      <c r="Q1016" s="2476"/>
      <c r="R1016" s="2476"/>
      <c r="S1016" s="2476"/>
      <c r="T1016" s="2476"/>
      <c r="U1016" s="2476"/>
      <c r="V1016" s="2476"/>
      <c r="W1016" s="2476"/>
      <c r="X1016" s="2476"/>
      <c r="Y1016" s="2476"/>
      <c r="Z1016" s="2476"/>
      <c r="AA1016" s="2476"/>
      <c r="AB1016" s="2476"/>
      <c r="AC1016" s="2476"/>
      <c r="AD1016" s="2476"/>
      <c r="AE1016" s="2477"/>
      <c r="AF1016" s="110"/>
      <c r="AG1016" s="112"/>
      <c r="AH1016" s="112"/>
      <c r="AI1016" s="121"/>
      <c r="AJ1016" s="2484"/>
      <c r="AK1016" s="2149"/>
      <c r="AL1016" s="2149"/>
      <c r="AM1016" s="2149"/>
      <c r="AN1016" s="2149"/>
      <c r="AO1016" s="2149"/>
      <c r="AP1016" s="2149"/>
      <c r="AQ1016" s="2485"/>
      <c r="AR1016" s="1582"/>
      <c r="AS1016" s="1582"/>
      <c r="AT1016" s="1582"/>
      <c r="AU1016" s="1582"/>
      <c r="AV1016" s="1582"/>
      <c r="AW1016" s="1582"/>
      <c r="AX1016" s="1582"/>
      <c r="AY1016" s="1582"/>
      <c r="CR1016" s="25"/>
    </row>
    <row r="1017" spans="1:96" s="718" customFormat="1" ht="12.75" customHeight="1">
      <c r="A1017" s="51"/>
      <c r="B1017" s="110"/>
      <c r="C1017" s="111"/>
      <c r="D1017" s="2475"/>
      <c r="E1017" s="2476"/>
      <c r="F1017" s="2476"/>
      <c r="G1017" s="2476"/>
      <c r="H1017" s="2476"/>
      <c r="I1017" s="2476"/>
      <c r="J1017" s="2476"/>
      <c r="K1017" s="2476"/>
      <c r="L1017" s="2476"/>
      <c r="M1017" s="2476"/>
      <c r="N1017" s="2476"/>
      <c r="O1017" s="2476"/>
      <c r="P1017" s="2476"/>
      <c r="Q1017" s="2476"/>
      <c r="R1017" s="2476"/>
      <c r="S1017" s="2476"/>
      <c r="T1017" s="2476"/>
      <c r="U1017" s="2476"/>
      <c r="V1017" s="2476"/>
      <c r="W1017" s="2476"/>
      <c r="X1017" s="2476"/>
      <c r="Y1017" s="2476"/>
      <c r="Z1017" s="2476"/>
      <c r="AA1017" s="2476"/>
      <c r="AB1017" s="2476"/>
      <c r="AC1017" s="2476"/>
      <c r="AD1017" s="2476"/>
      <c r="AE1017" s="2477"/>
      <c r="AF1017" s="110"/>
      <c r="AG1017" s="112"/>
      <c r="AH1017" s="112"/>
      <c r="AI1017" s="121"/>
      <c r="AJ1017" s="2484"/>
      <c r="AK1017" s="2149"/>
      <c r="AL1017" s="2149"/>
      <c r="AM1017" s="2149"/>
      <c r="AN1017" s="2149"/>
      <c r="AO1017" s="2149"/>
      <c r="AP1017" s="2149"/>
      <c r="AQ1017" s="2485"/>
      <c r="AR1017" s="1582"/>
      <c r="AS1017" s="1582"/>
      <c r="AT1017" s="1582"/>
      <c r="AU1017" s="1582"/>
      <c r="AV1017" s="1582"/>
      <c r="AW1017" s="1582"/>
      <c r="AX1017" s="1582"/>
      <c r="AY1017" s="1582"/>
      <c r="CR1017" s="25"/>
    </row>
    <row r="1018" spans="1:96" s="718" customFormat="1" ht="12.75" customHeight="1">
      <c r="A1018" s="51"/>
      <c r="B1018" s="110"/>
      <c r="C1018" s="111"/>
      <c r="D1018" s="2475"/>
      <c r="E1018" s="2476"/>
      <c r="F1018" s="2476"/>
      <c r="G1018" s="2476"/>
      <c r="H1018" s="2476"/>
      <c r="I1018" s="2476"/>
      <c r="J1018" s="2476"/>
      <c r="K1018" s="2476"/>
      <c r="L1018" s="2476"/>
      <c r="M1018" s="2476"/>
      <c r="N1018" s="2476"/>
      <c r="O1018" s="2476"/>
      <c r="P1018" s="2476"/>
      <c r="Q1018" s="2476"/>
      <c r="R1018" s="2476"/>
      <c r="S1018" s="2476"/>
      <c r="T1018" s="2476"/>
      <c r="U1018" s="2476"/>
      <c r="V1018" s="2476"/>
      <c r="W1018" s="2476"/>
      <c r="X1018" s="2476"/>
      <c r="Y1018" s="2476"/>
      <c r="Z1018" s="2476"/>
      <c r="AA1018" s="2476"/>
      <c r="AB1018" s="2476"/>
      <c r="AC1018" s="2476"/>
      <c r="AD1018" s="2476"/>
      <c r="AE1018" s="2477"/>
      <c r="AF1018" s="110"/>
      <c r="AG1018" s="112"/>
      <c r="AH1018" s="112"/>
      <c r="AI1018" s="121"/>
      <c r="AJ1018" s="2484"/>
      <c r="AK1018" s="2149"/>
      <c r="AL1018" s="2149"/>
      <c r="AM1018" s="2149"/>
      <c r="AN1018" s="2149"/>
      <c r="AO1018" s="2149"/>
      <c r="AP1018" s="2149"/>
      <c r="AQ1018" s="2485"/>
      <c r="AR1018" s="1582"/>
      <c r="AS1018" s="1582"/>
      <c r="AT1018" s="1582"/>
      <c r="AU1018" s="1582"/>
      <c r="AV1018" s="1582"/>
      <c r="AW1018" s="1582"/>
      <c r="AX1018" s="1582"/>
      <c r="AY1018" s="1582"/>
      <c r="CR1018" s="25"/>
    </row>
    <row r="1019" spans="1:96" s="718" customFormat="1" ht="12.75" customHeight="1">
      <c r="A1019" s="51"/>
      <c r="B1019" s="110"/>
      <c r="C1019" s="111"/>
      <c r="D1019" s="2478"/>
      <c r="E1019" s="2479"/>
      <c r="F1019" s="2479"/>
      <c r="G1019" s="2479"/>
      <c r="H1019" s="2479"/>
      <c r="I1019" s="2479"/>
      <c r="J1019" s="2479"/>
      <c r="K1019" s="2479"/>
      <c r="L1019" s="2479"/>
      <c r="M1019" s="2479"/>
      <c r="N1019" s="2479"/>
      <c r="O1019" s="2479"/>
      <c r="P1019" s="2479"/>
      <c r="Q1019" s="2479"/>
      <c r="R1019" s="2479"/>
      <c r="S1019" s="2479"/>
      <c r="T1019" s="2479"/>
      <c r="U1019" s="2479"/>
      <c r="V1019" s="2479"/>
      <c r="W1019" s="2479"/>
      <c r="X1019" s="2479"/>
      <c r="Y1019" s="2479"/>
      <c r="Z1019" s="2479"/>
      <c r="AA1019" s="2479"/>
      <c r="AB1019" s="2479"/>
      <c r="AC1019" s="2479"/>
      <c r="AD1019" s="2479"/>
      <c r="AE1019" s="2480"/>
      <c r="AF1019" s="110"/>
      <c r="AG1019" s="112"/>
      <c r="AH1019" s="112"/>
      <c r="AI1019" s="121"/>
      <c r="AJ1019" s="2484"/>
      <c r="AK1019" s="2149"/>
      <c r="AL1019" s="2149"/>
      <c r="AM1019" s="2149"/>
      <c r="AN1019" s="2149"/>
      <c r="AO1019" s="2149"/>
      <c r="AP1019" s="2149"/>
      <c r="AQ1019" s="2485"/>
      <c r="AR1019" s="1582"/>
      <c r="AS1019" s="1582"/>
      <c r="AT1019" s="1582"/>
      <c r="AU1019" s="1582"/>
      <c r="AV1019" s="1582"/>
      <c r="AW1019" s="1582"/>
      <c r="AX1019" s="1582"/>
      <c r="AY1019" s="1582"/>
      <c r="CR1019" s="25"/>
    </row>
    <row r="1020" spans="1:96" s="718" customFormat="1" ht="12.75" customHeight="1">
      <c r="A1020" s="51"/>
      <c r="B1020" s="117"/>
      <c r="C1020" s="198" t="s">
        <v>1115</v>
      </c>
      <c r="D1020" s="2444" t="s">
        <v>1540</v>
      </c>
      <c r="E1020" s="2445"/>
      <c r="F1020" s="2445"/>
      <c r="G1020" s="2445"/>
      <c r="H1020" s="2445"/>
      <c r="I1020" s="2445"/>
      <c r="J1020" s="2445"/>
      <c r="K1020" s="2445"/>
      <c r="L1020" s="2445"/>
      <c r="M1020" s="2445"/>
      <c r="N1020" s="2445"/>
      <c r="O1020" s="2445"/>
      <c r="P1020" s="2445"/>
      <c r="Q1020" s="2445"/>
      <c r="R1020" s="2445"/>
      <c r="S1020" s="2445"/>
      <c r="T1020" s="2445"/>
      <c r="U1020" s="2445"/>
      <c r="V1020" s="2445"/>
      <c r="W1020" s="2445"/>
      <c r="X1020" s="2445"/>
      <c r="Y1020" s="2445"/>
      <c r="Z1020" s="2445"/>
      <c r="AA1020" s="2445"/>
      <c r="AB1020" s="2445"/>
      <c r="AC1020" s="2445"/>
      <c r="AD1020" s="2445"/>
      <c r="AE1020" s="2446"/>
      <c r="AF1020" s="117"/>
      <c r="AG1020" s="2456" t="s">
        <v>705</v>
      </c>
      <c r="AH1020" s="2457"/>
      <c r="AI1020" s="125"/>
      <c r="AJ1020" s="2481">
        <f>ROUND(IF(AG1020="yes",(AJ975*0.1),0),0)</f>
        <v>0</v>
      </c>
      <c r="AK1020" s="2482"/>
      <c r="AL1020" s="2482"/>
      <c r="AM1020" s="2482"/>
      <c r="AN1020" s="2482"/>
      <c r="AO1020" s="2482"/>
      <c r="AP1020" s="2482"/>
      <c r="AQ1020" s="2483"/>
      <c r="AR1020" s="1582"/>
      <c r="AS1020" s="1582"/>
      <c r="AT1020" s="1582"/>
      <c r="AU1020" s="1582"/>
      <c r="AV1020" s="1582"/>
      <c r="AW1020" s="1582"/>
      <c r="AX1020" s="1582"/>
      <c r="AY1020" s="1582"/>
      <c r="CR1020" s="25"/>
    </row>
    <row r="1021" spans="1:96" ht="12.75" customHeight="1">
      <c r="A1021" s="51"/>
      <c r="B1021" s="110"/>
      <c r="C1021" s="111"/>
      <c r="D1021" s="2447" t="s">
        <v>1541</v>
      </c>
      <c r="E1021" s="2448"/>
      <c r="F1021" s="2448"/>
      <c r="G1021" s="2448"/>
      <c r="H1021" s="2448"/>
      <c r="I1021" s="2448"/>
      <c r="J1021" s="2448"/>
      <c r="K1021" s="2448"/>
      <c r="L1021" s="2448"/>
      <c r="M1021" s="2448"/>
      <c r="N1021" s="2448"/>
      <c r="O1021" s="2448"/>
      <c r="P1021" s="2448"/>
      <c r="Q1021" s="2448"/>
      <c r="R1021" s="2448"/>
      <c r="S1021" s="2448"/>
      <c r="T1021" s="2448"/>
      <c r="U1021" s="2448"/>
      <c r="V1021" s="2448"/>
      <c r="W1021" s="2448"/>
      <c r="X1021" s="2448"/>
      <c r="Y1021" s="2448"/>
      <c r="Z1021" s="2448"/>
      <c r="AA1021" s="2448"/>
      <c r="AB1021" s="2448"/>
      <c r="AC1021" s="2448"/>
      <c r="AD1021" s="2448"/>
      <c r="AE1021" s="2449"/>
      <c r="AF1021" s="110"/>
      <c r="AG1021" s="112"/>
      <c r="AH1021" s="112"/>
      <c r="AI1021" s="121"/>
      <c r="AJ1021" s="2484"/>
      <c r="AK1021" s="2149"/>
      <c r="AL1021" s="2149"/>
      <c r="AM1021" s="2149"/>
      <c r="AN1021" s="2149"/>
      <c r="AO1021" s="2149"/>
      <c r="AP1021" s="2149"/>
      <c r="AQ1021" s="2485"/>
      <c r="AR1021" s="1582"/>
      <c r="AS1021" s="1582"/>
      <c r="AT1021" s="1582"/>
      <c r="AU1021" s="1582"/>
      <c r="AV1021" s="1582"/>
      <c r="AW1021" s="1582"/>
      <c r="AX1021" s="1582"/>
      <c r="AY1021" s="1582"/>
    </row>
    <row r="1022" spans="1:96" ht="12.75" customHeight="1">
      <c r="A1022" s="51"/>
      <c r="B1022" s="110"/>
      <c r="C1022" s="111"/>
      <c r="D1022" s="2447"/>
      <c r="E1022" s="2448"/>
      <c r="F1022" s="2448"/>
      <c r="G1022" s="2448"/>
      <c r="H1022" s="2448"/>
      <c r="I1022" s="2448"/>
      <c r="J1022" s="2448"/>
      <c r="K1022" s="2448"/>
      <c r="L1022" s="2448"/>
      <c r="M1022" s="2448"/>
      <c r="N1022" s="2448"/>
      <c r="O1022" s="2448"/>
      <c r="P1022" s="2448"/>
      <c r="Q1022" s="2448"/>
      <c r="R1022" s="2448"/>
      <c r="S1022" s="2448"/>
      <c r="T1022" s="2448"/>
      <c r="U1022" s="2448"/>
      <c r="V1022" s="2448"/>
      <c r="W1022" s="2448"/>
      <c r="X1022" s="2448"/>
      <c r="Y1022" s="2448"/>
      <c r="Z1022" s="2448"/>
      <c r="AA1022" s="2448"/>
      <c r="AB1022" s="2448"/>
      <c r="AC1022" s="2448"/>
      <c r="AD1022" s="2448"/>
      <c r="AE1022" s="2449"/>
      <c r="AF1022" s="110"/>
      <c r="AG1022" s="112"/>
      <c r="AH1022" s="112"/>
      <c r="AI1022" s="121"/>
      <c r="AJ1022" s="2484"/>
      <c r="AK1022" s="2149"/>
      <c r="AL1022" s="2149"/>
      <c r="AM1022" s="2149"/>
      <c r="AN1022" s="2149"/>
      <c r="AO1022" s="2149"/>
      <c r="AP1022" s="2149"/>
      <c r="AQ1022" s="2485"/>
      <c r="AR1022" s="1582"/>
      <c r="AS1022" s="1582"/>
      <c r="AT1022" s="1582"/>
      <c r="AU1022" s="1582"/>
      <c r="AV1022" s="1582"/>
      <c r="AW1022" s="1582"/>
      <c r="AX1022" s="1582"/>
      <c r="AY1022" s="1582"/>
    </row>
    <row r="1023" spans="1:96" s="681" customFormat="1" ht="12.75" customHeight="1">
      <c r="A1023" s="51"/>
      <c r="B1023" s="110"/>
      <c r="C1023" s="111"/>
      <c r="D1023" s="2460"/>
      <c r="E1023" s="2461"/>
      <c r="F1023" s="2461"/>
      <c r="G1023" s="2461"/>
      <c r="H1023" s="2461"/>
      <c r="I1023" s="2461"/>
      <c r="J1023" s="2461"/>
      <c r="K1023" s="2461"/>
      <c r="L1023" s="2461"/>
      <c r="M1023" s="2461"/>
      <c r="N1023" s="2461"/>
      <c r="O1023" s="2461"/>
      <c r="P1023" s="2461"/>
      <c r="Q1023" s="2461"/>
      <c r="R1023" s="2461"/>
      <c r="S1023" s="2461"/>
      <c r="T1023" s="2461"/>
      <c r="U1023" s="2461"/>
      <c r="V1023" s="2461"/>
      <c r="W1023" s="2461"/>
      <c r="X1023" s="2461"/>
      <c r="Y1023" s="2461"/>
      <c r="Z1023" s="2461"/>
      <c r="AA1023" s="2461"/>
      <c r="AB1023" s="2461"/>
      <c r="AC1023" s="2461"/>
      <c r="AD1023" s="2461"/>
      <c r="AE1023" s="2462"/>
      <c r="AF1023" s="110"/>
      <c r="AG1023" s="112"/>
      <c r="AH1023" s="112"/>
      <c r="AI1023" s="121"/>
      <c r="AJ1023" s="2486"/>
      <c r="AK1023" s="2487"/>
      <c r="AL1023" s="2487"/>
      <c r="AM1023" s="2487"/>
      <c r="AN1023" s="2487"/>
      <c r="AO1023" s="2487"/>
      <c r="AP1023" s="2487"/>
      <c r="AQ1023" s="2488"/>
      <c r="AR1023" s="1582"/>
      <c r="AS1023" s="1582"/>
      <c r="AT1023" s="1582"/>
      <c r="AU1023" s="1582"/>
      <c r="AV1023" s="1582"/>
      <c r="AW1023" s="1582"/>
      <c r="AX1023" s="1582"/>
      <c r="AY1023" s="1582"/>
      <c r="CR1023" s="25"/>
    </row>
    <row r="1024" spans="1:96" ht="12.75" customHeight="1">
      <c r="A1024" s="51"/>
      <c r="B1024" s="117"/>
      <c r="C1024" s="198" t="s">
        <v>2170</v>
      </c>
      <c r="D1024" s="2492" t="s">
        <v>2391</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54" t="str">
        <f>IF(X1027&gt;0,"Yes","No")</f>
        <v>No</v>
      </c>
      <c r="AH1024" s="2455"/>
      <c r="AI1024" s="125"/>
      <c r="AJ1024" s="2463">
        <f>IF((X1027=0),0,BA989*AJ975)</f>
        <v>0</v>
      </c>
      <c r="AK1024" s="2464"/>
      <c r="AL1024" s="2464"/>
      <c r="AM1024" s="2464"/>
      <c r="AN1024" s="2464"/>
      <c r="AO1024" s="2464"/>
      <c r="AP1024" s="2464"/>
      <c r="AQ1024" s="2465"/>
      <c r="AR1024" s="1582"/>
      <c r="AS1024" s="1582"/>
      <c r="AT1024" s="1582"/>
      <c r="AU1024" s="1582"/>
      <c r="AV1024" s="1582"/>
      <c r="AW1024" s="1582"/>
      <c r="AX1024" s="1582"/>
      <c r="AY1024" s="1582"/>
    </row>
    <row r="1025" spans="1:96" ht="12.75" customHeight="1">
      <c r="A1025" s="51"/>
      <c r="B1025" s="110"/>
      <c r="C1025" s="701"/>
      <c r="D1025" s="2447" t="s">
        <v>1543</v>
      </c>
      <c r="E1025" s="2448"/>
      <c r="F1025" s="2448"/>
      <c r="G1025" s="2448"/>
      <c r="H1025" s="2448"/>
      <c r="I1025" s="2448"/>
      <c r="J1025" s="2448"/>
      <c r="K1025" s="2448"/>
      <c r="L1025" s="2448"/>
      <c r="M1025" s="2448"/>
      <c r="N1025" s="2448"/>
      <c r="O1025" s="2448"/>
      <c r="P1025" s="2448"/>
      <c r="Q1025" s="2448"/>
      <c r="R1025" s="2448"/>
      <c r="S1025" s="2448"/>
      <c r="T1025" s="2448"/>
      <c r="U1025" s="2448"/>
      <c r="V1025" s="2448"/>
      <c r="W1025" s="2448"/>
      <c r="X1025" s="2448"/>
      <c r="Y1025" s="2448"/>
      <c r="Z1025" s="2448"/>
      <c r="AA1025" s="2448"/>
      <c r="AB1025" s="2448"/>
      <c r="AC1025" s="2448"/>
      <c r="AD1025" s="2448"/>
      <c r="AE1025" s="2449"/>
      <c r="AF1025" s="110"/>
      <c r="AG1025" s="702"/>
      <c r="AH1025" s="702"/>
      <c r="AI1025" s="121"/>
      <c r="AJ1025" s="2466"/>
      <c r="AK1025" s="2467"/>
      <c r="AL1025" s="2467"/>
      <c r="AM1025" s="2467"/>
      <c r="AN1025" s="2467"/>
      <c r="AO1025" s="2467"/>
      <c r="AP1025" s="2467"/>
      <c r="AQ1025" s="2468"/>
      <c r="AR1025" s="1582"/>
      <c r="AS1025" s="1582"/>
      <c r="AT1025" s="1582"/>
      <c r="AU1025" s="1582"/>
      <c r="AV1025" s="1582"/>
      <c r="AW1025" s="1582"/>
      <c r="AX1025" s="1582"/>
      <c r="AY1025" s="1582"/>
    </row>
    <row r="1026" spans="1:96" ht="12.75" customHeight="1">
      <c r="A1026" s="51"/>
      <c r="B1026" s="110"/>
      <c r="C1026" s="701"/>
      <c r="D1026" s="2447"/>
      <c r="E1026" s="2448"/>
      <c r="F1026" s="2448"/>
      <c r="G1026" s="2448"/>
      <c r="H1026" s="2448"/>
      <c r="I1026" s="2448"/>
      <c r="J1026" s="2448"/>
      <c r="K1026" s="2448"/>
      <c r="L1026" s="2448"/>
      <c r="M1026" s="2448"/>
      <c r="N1026" s="2448"/>
      <c r="O1026" s="2448"/>
      <c r="P1026" s="2448"/>
      <c r="Q1026" s="2448"/>
      <c r="R1026" s="2448"/>
      <c r="S1026" s="2448"/>
      <c r="T1026" s="2448"/>
      <c r="U1026" s="2448"/>
      <c r="V1026" s="2448"/>
      <c r="W1026" s="2448"/>
      <c r="X1026" s="2448"/>
      <c r="Y1026" s="2448"/>
      <c r="Z1026" s="2448"/>
      <c r="AA1026" s="2448"/>
      <c r="AB1026" s="2448"/>
      <c r="AC1026" s="2448"/>
      <c r="AD1026" s="2448"/>
      <c r="AE1026" s="2449"/>
      <c r="AF1026" s="110"/>
      <c r="AG1026" s="702"/>
      <c r="AH1026" s="702"/>
      <c r="AI1026" s="121"/>
      <c r="AJ1026" s="2466"/>
      <c r="AK1026" s="2467"/>
      <c r="AL1026" s="2467"/>
      <c r="AM1026" s="2467"/>
      <c r="AN1026" s="2467"/>
      <c r="AO1026" s="2467"/>
      <c r="AP1026" s="2467"/>
      <c r="AQ1026" s="2468"/>
      <c r="AR1026" s="1582"/>
      <c r="AS1026" s="1582"/>
      <c r="AT1026" s="1582"/>
      <c r="AU1026" s="1582"/>
      <c r="AV1026" s="1582"/>
      <c r="AW1026" s="1582"/>
      <c r="AX1026" s="1582"/>
      <c r="AY1026" s="1582"/>
    </row>
    <row r="1027" spans="1:96" s="718" customFormat="1" ht="12.75" customHeight="1">
      <c r="A1027" s="51"/>
      <c r="B1027" s="115"/>
      <c r="C1027" s="116"/>
      <c r="D1027" s="199" t="s">
        <v>1049</v>
      </c>
      <c r="E1027" s="200"/>
      <c r="F1027" s="200"/>
      <c r="G1027" s="200"/>
      <c r="H1027" s="200"/>
      <c r="I1027" s="2452">
        <f>BA987</f>
        <v>88</v>
      </c>
      <c r="J1027" s="2453"/>
      <c r="K1027" s="11"/>
      <c r="L1027" s="200"/>
      <c r="M1027" s="200"/>
      <c r="N1027" s="200"/>
      <c r="O1027" s="200"/>
      <c r="P1027" s="200"/>
      <c r="Q1027" s="200"/>
      <c r="R1027" s="200"/>
      <c r="S1027" s="200"/>
      <c r="T1027" s="200"/>
      <c r="U1027" s="200"/>
      <c r="V1027" s="201" t="s">
        <v>1050</v>
      </c>
      <c r="W1027" s="80"/>
      <c r="X1027" s="2450">
        <f>BG635</f>
        <v>0</v>
      </c>
      <c r="Y1027" s="2451"/>
      <c r="Z1027" s="80"/>
      <c r="AA1027" s="80"/>
      <c r="AB1027" s="80"/>
      <c r="AC1027" s="80"/>
      <c r="AD1027" s="80"/>
      <c r="AE1027" s="81"/>
      <c r="AF1027" s="1621"/>
      <c r="AG1027" s="1622"/>
      <c r="AH1027" s="1622"/>
      <c r="AI1027" s="1623"/>
      <c r="AJ1027" s="2469"/>
      <c r="AK1027" s="2470"/>
      <c r="AL1027" s="2470"/>
      <c r="AM1027" s="2470"/>
      <c r="AN1027" s="2470"/>
      <c r="AO1027" s="2470"/>
      <c r="AP1027" s="2470"/>
      <c r="AQ1027" s="2471"/>
      <c r="AR1027" s="1582"/>
      <c r="AS1027" s="1582"/>
      <c r="AT1027" s="1582"/>
      <c r="AU1027" s="1582"/>
      <c r="AV1027" s="1582"/>
      <c r="AW1027" s="1582"/>
      <c r="AX1027" s="1582"/>
      <c r="AY1027" s="1582"/>
      <c r="CR1027" s="25"/>
    </row>
    <row r="1028" spans="1:96" ht="12.75" customHeight="1">
      <c r="A1028" s="51"/>
      <c r="B1028" s="117"/>
      <c r="C1028" s="198" t="s">
        <v>2171</v>
      </c>
      <c r="D1028" s="2444" t="s">
        <v>2392</v>
      </c>
      <c r="E1028" s="2445"/>
      <c r="F1028" s="2445"/>
      <c r="G1028" s="2445"/>
      <c r="H1028" s="2445"/>
      <c r="I1028" s="2445"/>
      <c r="J1028" s="2445"/>
      <c r="K1028" s="2445"/>
      <c r="L1028" s="2445"/>
      <c r="M1028" s="2445"/>
      <c r="N1028" s="2445"/>
      <c r="O1028" s="2445"/>
      <c r="P1028" s="2445"/>
      <c r="Q1028" s="2445"/>
      <c r="R1028" s="2445"/>
      <c r="S1028" s="2445"/>
      <c r="T1028" s="2445"/>
      <c r="U1028" s="2445"/>
      <c r="V1028" s="2445"/>
      <c r="W1028" s="2445"/>
      <c r="X1028" s="2445"/>
      <c r="Y1028" s="2445"/>
      <c r="Z1028" s="2445"/>
      <c r="AA1028" s="2445"/>
      <c r="AB1028" s="2445"/>
      <c r="AC1028" s="2445"/>
      <c r="AD1028" s="2445"/>
      <c r="AE1028" s="2446"/>
      <c r="AF1028" s="110"/>
      <c r="AG1028" s="2454" t="str">
        <f>IF(X1031&gt;0,"Yes","No")</f>
        <v>Yes</v>
      </c>
      <c r="AH1028" s="2455"/>
      <c r="AI1028" s="121"/>
      <c r="AJ1028" s="2463">
        <f>IF((X1031=0),0,(2*BA990)*AJ975)</f>
        <v>58513264</v>
      </c>
      <c r="AK1028" s="2464"/>
      <c r="AL1028" s="2464"/>
      <c r="AM1028" s="2464"/>
      <c r="AN1028" s="2464"/>
      <c r="AO1028" s="2464"/>
      <c r="AP1028" s="2464"/>
      <c r="AQ1028" s="2465"/>
      <c r="AR1028" s="1582"/>
      <c r="AS1028" s="1582"/>
      <c r="AT1028" s="1582"/>
      <c r="AU1028" s="1582"/>
      <c r="AV1028" s="1582"/>
      <c r="AW1028" s="1582"/>
      <c r="AX1028" s="1582"/>
      <c r="AY1028" s="1582"/>
    </row>
    <row r="1029" spans="1:96" ht="12.75" customHeight="1">
      <c r="A1029" s="51"/>
      <c r="B1029" s="110"/>
      <c r="C1029" s="701"/>
      <c r="D1029" s="2447" t="s">
        <v>1542</v>
      </c>
      <c r="E1029" s="2448"/>
      <c r="F1029" s="2448"/>
      <c r="G1029" s="2448"/>
      <c r="H1029" s="2448"/>
      <c r="I1029" s="2448"/>
      <c r="J1029" s="2448"/>
      <c r="K1029" s="2448"/>
      <c r="L1029" s="2448"/>
      <c r="M1029" s="2448"/>
      <c r="N1029" s="2448"/>
      <c r="O1029" s="2448"/>
      <c r="P1029" s="2448"/>
      <c r="Q1029" s="2448"/>
      <c r="R1029" s="2448"/>
      <c r="S1029" s="2448"/>
      <c r="T1029" s="2448"/>
      <c r="U1029" s="2448"/>
      <c r="V1029" s="2448"/>
      <c r="W1029" s="2448"/>
      <c r="X1029" s="2448"/>
      <c r="Y1029" s="2448"/>
      <c r="Z1029" s="2448"/>
      <c r="AA1029" s="2448"/>
      <c r="AB1029" s="2448"/>
      <c r="AC1029" s="2448"/>
      <c r="AD1029" s="2448"/>
      <c r="AE1029" s="2449"/>
      <c r="AF1029" s="110"/>
      <c r="AG1029" s="702"/>
      <c r="AH1029" s="702"/>
      <c r="AI1029" s="121"/>
      <c r="AJ1029" s="2466"/>
      <c r="AK1029" s="2467"/>
      <c r="AL1029" s="2467"/>
      <c r="AM1029" s="2467"/>
      <c r="AN1029" s="2467"/>
      <c r="AO1029" s="2467"/>
      <c r="AP1029" s="2467"/>
      <c r="AQ1029" s="2468"/>
      <c r="AR1029" s="1582"/>
      <c r="AS1029" s="1582"/>
      <c r="AT1029" s="1582"/>
      <c r="AU1029" s="1582"/>
      <c r="AV1029" s="1582"/>
      <c r="AW1029" s="1582"/>
      <c r="AX1029" s="1582"/>
      <c r="AY1029" s="1582"/>
    </row>
    <row r="1030" spans="1:96" ht="12.75" customHeight="1">
      <c r="A1030" s="51"/>
      <c r="B1030" s="110"/>
      <c r="C1030" s="121"/>
      <c r="D1030" s="2447"/>
      <c r="E1030" s="2448"/>
      <c r="F1030" s="2448"/>
      <c r="G1030" s="2448"/>
      <c r="H1030" s="2448"/>
      <c r="I1030" s="2448"/>
      <c r="J1030" s="2448"/>
      <c r="K1030" s="2448"/>
      <c r="L1030" s="2448"/>
      <c r="M1030" s="2448"/>
      <c r="N1030" s="2448"/>
      <c r="O1030" s="2448"/>
      <c r="P1030" s="2448"/>
      <c r="Q1030" s="2448"/>
      <c r="R1030" s="2448"/>
      <c r="S1030" s="2448"/>
      <c r="T1030" s="2448"/>
      <c r="U1030" s="2448"/>
      <c r="V1030" s="2448"/>
      <c r="W1030" s="2448"/>
      <c r="X1030" s="2448"/>
      <c r="Y1030" s="2448"/>
      <c r="Z1030" s="2448"/>
      <c r="AA1030" s="2448"/>
      <c r="AB1030" s="2448"/>
      <c r="AC1030" s="2448"/>
      <c r="AD1030" s="2448"/>
      <c r="AE1030" s="2449"/>
      <c r="AF1030" s="1618"/>
      <c r="AG1030" s="1619"/>
      <c r="AH1030" s="1619"/>
      <c r="AI1030" s="1620"/>
      <c r="AJ1030" s="2466"/>
      <c r="AK1030" s="2467"/>
      <c r="AL1030" s="2467"/>
      <c r="AM1030" s="2467"/>
      <c r="AN1030" s="2467"/>
      <c r="AO1030" s="2467"/>
      <c r="AP1030" s="2467"/>
      <c r="AQ1030" s="2468"/>
      <c r="AR1030" s="1582"/>
      <c r="AS1030" s="1582"/>
      <c r="AT1030" s="1582"/>
      <c r="AU1030" s="1582"/>
      <c r="AV1030" s="1582"/>
      <c r="AW1030" s="1582"/>
      <c r="AX1030" s="1582"/>
      <c r="AY1030" s="1582"/>
    </row>
    <row r="1031" spans="1:96" s="718" customFormat="1" ht="12.75" customHeight="1">
      <c r="A1031" s="51"/>
      <c r="B1031" s="115"/>
      <c r="C1031" s="116"/>
      <c r="D1031" s="199" t="s">
        <v>1049</v>
      </c>
      <c r="E1031" s="200"/>
      <c r="F1031" s="200"/>
      <c r="G1031" s="200"/>
      <c r="H1031" s="200"/>
      <c r="I1031" s="2452">
        <f>BA987</f>
        <v>88</v>
      </c>
      <c r="J1031" s="2453"/>
      <c r="K1031" s="51"/>
      <c r="L1031" s="200"/>
      <c r="M1031" s="200"/>
      <c r="N1031" s="200"/>
      <c r="O1031" s="200"/>
      <c r="P1031" s="200"/>
      <c r="Q1031" s="200"/>
      <c r="R1031" s="200"/>
      <c r="S1031" s="200"/>
      <c r="T1031" s="200"/>
      <c r="U1031" s="200"/>
      <c r="V1031" s="201" t="s">
        <v>1051</v>
      </c>
      <c r="X1031" s="2450">
        <f>BK635</f>
        <v>88</v>
      </c>
      <c r="Y1031" s="2451"/>
      <c r="AF1031" s="1621"/>
      <c r="AG1031" s="1622"/>
      <c r="AH1031" s="1622"/>
      <c r="AI1031" s="1623"/>
      <c r="AJ1031" s="2469"/>
      <c r="AK1031" s="2470"/>
      <c r="AL1031" s="2470"/>
      <c r="AM1031" s="2470"/>
      <c r="AN1031" s="2470"/>
      <c r="AO1031" s="2470"/>
      <c r="AP1031" s="2470"/>
      <c r="AQ1031" s="2471"/>
      <c r="AR1031" s="1582"/>
      <c r="AS1031" s="1582"/>
      <c r="AT1031" s="1582"/>
      <c r="AU1031" s="1582"/>
      <c r="AV1031" s="1582"/>
      <c r="AW1031" s="1582"/>
      <c r="AX1031" s="1582"/>
      <c r="AY1031" s="1582"/>
      <c r="CR1031" s="25"/>
    </row>
    <row r="1032" spans="1:96" ht="12.75" customHeight="1">
      <c r="A1032" s="51"/>
      <c r="B1032" s="158"/>
      <c r="C1032" s="159"/>
      <c r="D1032" s="2442" t="s">
        <v>545</v>
      </c>
      <c r="E1032" s="2442"/>
      <c r="F1032" s="2442"/>
      <c r="G1032" s="2442"/>
      <c r="H1032" s="2442"/>
      <c r="I1032" s="2442"/>
      <c r="J1032" s="2442"/>
      <c r="K1032" s="2442"/>
      <c r="L1032" s="2442"/>
      <c r="M1032" s="2442"/>
      <c r="N1032" s="2442"/>
      <c r="O1032" s="2442"/>
      <c r="P1032" s="2442"/>
      <c r="Q1032" s="2442"/>
      <c r="R1032" s="2442"/>
      <c r="S1032" s="2442"/>
      <c r="T1032" s="2442"/>
      <c r="U1032" s="2442"/>
      <c r="V1032" s="2442"/>
      <c r="W1032" s="2442"/>
      <c r="X1032" s="2442"/>
      <c r="Y1032" s="2442"/>
      <c r="Z1032" s="2442"/>
      <c r="AA1032" s="2442"/>
      <c r="AB1032" s="2442"/>
      <c r="AC1032" s="2442"/>
      <c r="AD1032" s="2442"/>
      <c r="AE1032" s="2442"/>
      <c r="AF1032" s="2442"/>
      <c r="AG1032" s="2442"/>
      <c r="AH1032" s="2442"/>
      <c r="AI1032" s="2443"/>
      <c r="AJ1032" s="2472">
        <f>SUM(AJ975:AQ1031)</f>
        <v>98781718</v>
      </c>
      <c r="AK1032" s="2473"/>
      <c r="AL1032" s="2473"/>
      <c r="AM1032" s="2473"/>
      <c r="AN1032" s="2473"/>
      <c r="AO1032" s="2473"/>
      <c r="AP1032" s="2473"/>
      <c r="AQ1032" s="2474"/>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9" t="s">
        <v>1929</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8"/>
      <c r="Y1035" s="2398"/>
      <c r="Z1035" s="2398"/>
      <c r="AA1035" s="2398"/>
      <c r="AB1035" s="2398"/>
      <c r="AC1035" s="2398"/>
      <c r="AD1035" s="2128">
        <f>R971</f>
        <v>455200</v>
      </c>
      <c r="AE1035" s="2129"/>
      <c r="AF1035" s="2129"/>
      <c r="AG1035" s="2129"/>
      <c r="AH1035" s="2129"/>
      <c r="AI1035" s="2129"/>
      <c r="AJ1035" s="2129"/>
      <c r="AK1035" s="2129"/>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9"/>
      <c r="Y1036" s="2399"/>
      <c r="Z1036" s="2399"/>
      <c r="AA1036" s="2399"/>
      <c r="AB1036" s="2399"/>
      <c r="AC1036" s="2399"/>
      <c r="AD1036" s="2149">
        <f>MEDIAN((BR809:BR866))</f>
        <v>364800</v>
      </c>
      <c r="AE1036" s="2149"/>
      <c r="AF1036" s="2149"/>
      <c r="AG1036" s="2149"/>
      <c r="AH1036" s="2149"/>
      <c r="AI1036" s="2149"/>
      <c r="AJ1036" s="2149"/>
      <c r="AK1036" s="2149"/>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0" t="s">
        <v>1931</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5"/>
      <c r="AA1037" s="1415"/>
      <c r="AB1037" s="1415"/>
      <c r="AC1037" s="1415"/>
      <c r="AD1037" s="2125">
        <f>IF(((AD1035-AD1036)/AD1036)&gt;0.3,0.3,((AD1035-AD1036)/AD1036))</f>
        <v>0.24780701754385964</v>
      </c>
      <c r="AE1037" s="2126"/>
      <c r="AF1037" s="2126"/>
      <c r="AG1037" s="2126"/>
      <c r="AH1037" s="2126"/>
      <c r="AI1037" s="2126"/>
      <c r="AJ1037" s="2126"/>
      <c r="AK1037" s="2127"/>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75" customHeight="1">
      <c r="A1039" s="128"/>
      <c r="B1039" s="2396">
        <f>IF(ISNA(IF((AJ999&gt;(AJ975*0.15)),"(f) cannot be greater than 15% of unadjusted eligible basis.",0)),"",(IF((AJ999&gt;(AJ975*0.15)),"(f) cannot be greater than 15% of unadjusted eligible basis.",0)))</f>
        <v>0</v>
      </c>
      <c r="C1039" s="2396"/>
      <c r="D1039" s="2396"/>
      <c r="E1039" s="2396"/>
      <c r="F1039" s="2396"/>
      <c r="G1039" s="2396"/>
      <c r="H1039" s="2396"/>
      <c r="I1039" s="2396"/>
      <c r="J1039" s="2396"/>
      <c r="K1039" s="2396"/>
      <c r="L1039" s="2396"/>
      <c r="M1039" s="2396"/>
      <c r="N1039" s="2396"/>
      <c r="O1039" s="2396"/>
      <c r="P1039" s="2396"/>
      <c r="Q1039" s="2396"/>
      <c r="R1039" s="2396"/>
      <c r="S1039" s="2396"/>
      <c r="T1039" s="2396"/>
      <c r="U1039" s="2396"/>
      <c r="V1039" s="2396"/>
      <c r="W1039" s="2396"/>
      <c r="X1039" s="2396"/>
      <c r="Y1039" s="2396"/>
      <c r="Z1039" s="2396"/>
      <c r="AA1039" s="2396"/>
      <c r="AB1039" s="2396"/>
      <c r="AC1039" s="2396"/>
      <c r="AD1039" s="2396"/>
      <c r="AE1039" s="2396"/>
      <c r="AF1039" s="2396"/>
      <c r="AG1039" s="2396"/>
      <c r="AH1039" s="2396"/>
      <c r="AI1039" s="2396"/>
      <c r="AJ1039" s="2396"/>
      <c r="AK1039" s="2396"/>
      <c r="AL1039" s="105"/>
      <c r="AM1039" s="1582"/>
      <c r="AN1039" s="1582"/>
      <c r="AO1039" s="1582"/>
      <c r="AP1039" s="1582"/>
      <c r="AQ1039" s="1582"/>
      <c r="AR1039" s="1582"/>
      <c r="AS1039" s="1582"/>
      <c r="AT1039" s="1582"/>
      <c r="AU1039" s="1582"/>
      <c r="AV1039" s="1582"/>
      <c r="AW1039" s="1582"/>
      <c r="AX1039" s="1582"/>
      <c r="AY1039" s="1582"/>
    </row>
    <row r="1040" spans="1:96" ht="12.75" customHeight="1" thickBot="1">
      <c r="A1040" s="2363" t="s">
        <v>851</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40" t="s">
        <v>625</v>
      </c>
      <c r="B1044" s="2040"/>
      <c r="C1044" s="13">
        <v>1</v>
      </c>
      <c r="D1044" s="1885" t="s">
        <v>1221</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7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7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7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7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7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75" customHeight="1">
      <c r="A1050" s="2040" t="s">
        <v>625</v>
      </c>
      <c r="B1050" s="2040"/>
      <c r="C1050" s="13">
        <v>2</v>
      </c>
      <c r="D1050" s="1885" t="s">
        <v>1220</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7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7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7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7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7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75" customHeight="1">
      <c r="A1056" s="2040" t="s">
        <v>625</v>
      </c>
      <c r="B1056" s="2040"/>
      <c r="C1056" s="13">
        <v>3</v>
      </c>
      <c r="D1056" s="1885" t="s">
        <v>1525</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7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8"/>
    </row>
    <row r="1058" spans="1:96" ht="12.7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8" customFormat="1" ht="12.7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7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7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75" customHeight="1">
      <c r="A1063" s="2040" t="s">
        <v>625</v>
      </c>
      <c r="B1063" s="2040"/>
      <c r="C1063" s="13">
        <v>4</v>
      </c>
      <c r="D1063" s="1885" t="s">
        <v>1206</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7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7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1" customFormat="1" ht="12.75" customHeight="1">
      <c r="A1066" s="2040" t="s">
        <v>625</v>
      </c>
      <c r="B1066" s="2040"/>
      <c r="C1066" s="13">
        <v>5</v>
      </c>
      <c r="D1066" s="1885" t="s">
        <v>1415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7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7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1"/>
    </row>
    <row r="1070" spans="1:96" ht="12.7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75" customHeight="1">
      <c r="A1071" s="2040" t="s">
        <v>625</v>
      </c>
      <c r="B1071" s="2040"/>
      <c r="C1071" s="13">
        <v>6</v>
      </c>
      <c r="D1071" s="1885" t="s">
        <v>1207</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75"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7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75" customHeight="1">
      <c r="A1074" s="2040" t="s">
        <v>625</v>
      </c>
      <c r="B1074" s="2040"/>
      <c r="C1074" s="318">
        <v>7</v>
      </c>
      <c r="D1074" s="1885" t="s">
        <v>1209</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75"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75"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1" customFormat="1" ht="12.75"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75" customHeight="1">
      <c r="A1078" s="2040" t="s">
        <v>625</v>
      </c>
      <c r="B1078" s="2040"/>
      <c r="C1078" s="318">
        <v>8</v>
      </c>
      <c r="D1078" s="2397" t="s">
        <v>2166</v>
      </c>
      <c r="E1078" s="2397"/>
      <c r="F1078" s="2397"/>
      <c r="G1078" s="2397"/>
      <c r="H1078" s="2397"/>
      <c r="I1078" s="2397"/>
      <c r="J1078" s="2397"/>
      <c r="K1078" s="2397"/>
      <c r="L1078" s="2397"/>
      <c r="M1078" s="2397"/>
      <c r="N1078" s="2397"/>
      <c r="O1078" s="2397"/>
      <c r="P1078" s="2397"/>
      <c r="Q1078" s="2397"/>
      <c r="R1078" s="2397"/>
      <c r="S1078" s="2397"/>
      <c r="T1078" s="2397"/>
      <c r="U1078" s="2397"/>
      <c r="V1078" s="2397"/>
      <c r="W1078" s="2397"/>
      <c r="X1078" s="2397"/>
      <c r="Y1078" s="2397"/>
      <c r="Z1078" s="2397"/>
      <c r="AA1078" s="2397"/>
      <c r="AB1078" s="2397"/>
      <c r="AC1078" s="2397"/>
      <c r="AD1078" s="2397"/>
      <c r="AE1078" s="2397"/>
      <c r="AF1078" s="2397"/>
      <c r="AG1078" s="2397"/>
      <c r="AH1078" s="2397"/>
      <c r="AI1078" s="2397"/>
      <c r="AJ1078" s="2397"/>
      <c r="AK1078" s="2397"/>
    </row>
    <row r="1079" spans="1:96" ht="12.75" customHeight="1">
      <c r="A1079" s="235"/>
      <c r="B1079" s="235"/>
      <c r="C1079" s="318"/>
      <c r="D1079" s="2397"/>
      <c r="E1079" s="2397"/>
      <c r="F1079" s="2397"/>
      <c r="G1079" s="2397"/>
      <c r="H1079" s="2397"/>
      <c r="I1079" s="2397"/>
      <c r="J1079" s="2397"/>
      <c r="K1079" s="2397"/>
      <c r="L1079" s="2397"/>
      <c r="M1079" s="2397"/>
      <c r="N1079" s="2397"/>
      <c r="O1079" s="2397"/>
      <c r="P1079" s="2397"/>
      <c r="Q1079" s="2397"/>
      <c r="R1079" s="2397"/>
      <c r="S1079" s="2397"/>
      <c r="T1079" s="2397"/>
      <c r="U1079" s="2397"/>
      <c r="V1079" s="2397"/>
      <c r="W1079" s="2397"/>
      <c r="X1079" s="2397"/>
      <c r="Y1079" s="2397"/>
      <c r="Z1079" s="2397"/>
      <c r="AA1079" s="2397"/>
      <c r="AB1079" s="2397"/>
      <c r="AC1079" s="2397"/>
      <c r="AD1079" s="2397"/>
      <c r="AE1079" s="2397"/>
      <c r="AF1079" s="2397"/>
      <c r="AG1079" s="2397"/>
      <c r="AH1079" s="2397"/>
      <c r="AI1079" s="2397"/>
      <c r="AJ1079" s="2397"/>
      <c r="AK1079" s="2397"/>
    </row>
    <row r="1080" spans="1:96" ht="12.75" customHeight="1">
      <c r="A1080" s="235"/>
      <c r="B1080" s="235"/>
      <c r="C1080" s="318"/>
      <c r="D1080" s="2397"/>
      <c r="E1080" s="2397"/>
      <c r="F1080" s="2397"/>
      <c r="G1080" s="2397"/>
      <c r="H1080" s="2397"/>
      <c r="I1080" s="2397"/>
      <c r="J1080" s="2397"/>
      <c r="K1080" s="2397"/>
      <c r="L1080" s="2397"/>
      <c r="M1080" s="2397"/>
      <c r="N1080" s="2397"/>
      <c r="O1080" s="2397"/>
      <c r="P1080" s="2397"/>
      <c r="Q1080" s="2397"/>
      <c r="R1080" s="2397"/>
      <c r="S1080" s="2397"/>
      <c r="T1080" s="2397"/>
      <c r="U1080" s="2397"/>
      <c r="V1080" s="2397"/>
      <c r="W1080" s="2397"/>
      <c r="X1080" s="2397"/>
      <c r="Y1080" s="2397"/>
      <c r="Z1080" s="2397"/>
      <c r="AA1080" s="2397"/>
      <c r="AB1080" s="2397"/>
      <c r="AC1080" s="2397"/>
      <c r="AD1080" s="2397"/>
      <c r="AE1080" s="2397"/>
      <c r="AF1080" s="2397"/>
      <c r="AG1080" s="2397"/>
      <c r="AH1080" s="2397"/>
      <c r="AI1080" s="2397"/>
      <c r="AJ1080" s="2397"/>
      <c r="AK1080" s="2397"/>
      <c r="AL1080" s="681"/>
    </row>
    <row r="1081" spans="1:96" ht="12" customHeight="1">
      <c r="A1081" s="62"/>
      <c r="B1081" s="66"/>
      <c r="C1081" s="318"/>
      <c r="D1081" s="2397"/>
      <c r="E1081" s="2397"/>
      <c r="F1081" s="2397"/>
      <c r="G1081" s="2397"/>
      <c r="H1081" s="2397"/>
      <c r="I1081" s="2397"/>
      <c r="J1081" s="2397"/>
      <c r="K1081" s="2397"/>
      <c r="L1081" s="2397"/>
      <c r="M1081" s="2397"/>
      <c r="N1081" s="2397"/>
      <c r="O1081" s="2397"/>
      <c r="P1081" s="2397"/>
      <c r="Q1081" s="2397"/>
      <c r="R1081" s="2397"/>
      <c r="S1081" s="2397"/>
      <c r="T1081" s="2397"/>
      <c r="U1081" s="2397"/>
      <c r="V1081" s="2397"/>
      <c r="W1081" s="2397"/>
      <c r="X1081" s="2397"/>
      <c r="Y1081" s="2397"/>
      <c r="Z1081" s="2397"/>
      <c r="AA1081" s="2397"/>
      <c r="AB1081" s="2397"/>
      <c r="AC1081" s="2397"/>
      <c r="AD1081" s="2397"/>
      <c r="AE1081" s="2397"/>
      <c r="AF1081" s="2397"/>
      <c r="AG1081" s="2397"/>
      <c r="AH1081" s="2397"/>
      <c r="AI1081" s="2397"/>
      <c r="AJ1081" s="2397"/>
      <c r="AK1081" s="2397"/>
    </row>
    <row r="1082" spans="1:96" ht="12.75" customHeight="1">
      <c r="A1082" s="2040" t="s">
        <v>625</v>
      </c>
      <c r="B1082" s="2040"/>
      <c r="C1082" s="318">
        <v>9</v>
      </c>
      <c r="D1082" s="1885" t="s">
        <v>1208</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Q392:U392"/>
    <mergeCell ref="AC511:AK511"/>
    <mergeCell ref="Y488:AC488"/>
    <mergeCell ref="A478:AL479"/>
    <mergeCell ref="AC536:AF536"/>
    <mergeCell ref="AD484:AH485"/>
    <mergeCell ref="B501:P502"/>
    <mergeCell ref="AC518:AF518"/>
    <mergeCell ref="C566:P566"/>
    <mergeCell ref="AH541:AK541"/>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T563:V563"/>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C520:AF52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G400:AJ400"/>
    <mergeCell ref="J386:U386"/>
    <mergeCell ref="AC385:AJ385"/>
    <mergeCell ref="T491:X491"/>
    <mergeCell ref="BX656:CB656"/>
    <mergeCell ref="BX657:CB657"/>
    <mergeCell ref="CC652:CG652"/>
    <mergeCell ref="CC653:CG653"/>
    <mergeCell ref="CC655:CG655"/>
    <mergeCell ref="CC656:CG656"/>
    <mergeCell ref="CC657:CG657"/>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8" fitToHeight="25" orientation="portrait" useFirstPageNumber="1" r:id="rId5"/>
  <headerFooter alignWithMargins="0">
    <oddFooter>&amp;C&amp;P&amp;R&amp;A</oddFooter>
  </headerFooter>
  <rowBreaks count="22" manualBreakCount="22">
    <brk id="101" max="37" man="1"/>
    <brk id="135" max="37" man="1"/>
    <brk id="168" max="37" man="1"/>
    <brk id="220" max="37" man="1"/>
    <brk id="280" max="37" man="1"/>
    <brk id="341" max="37" man="1"/>
    <brk id="349" max="37" man="1"/>
    <brk id="407" max="37" man="1"/>
    <brk id="456" max="37" man="1"/>
    <brk id="477" max="37" man="1"/>
    <brk id="524" max="37" man="1"/>
    <brk id="555" max="37" man="1"/>
    <brk id="610" max="37" man="1"/>
    <brk id="626" max="37" man="1"/>
    <brk id="684" max="37" man="1"/>
    <brk id="718" max="37" man="1"/>
    <brk id="837" max="37" man="1"/>
    <brk id="893" max="37" man="1"/>
    <brk id="906" max="37" man="1"/>
    <brk id="962" max="37" man="1"/>
    <brk id="1019" max="37" man="1"/>
    <brk id="1039" max="37"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5" zoomScaleNormal="100" zoomScaleSheetLayoutView="115" workbookViewId="0">
      <pane xSplit="2" ySplit="3" topLeftCell="C4" activePane="bottomRight" state="frozen"/>
      <selection pane="topRight" activeCell="C1" sqref="C1"/>
      <selection pane="bottomLeft" activeCell="A4" sqref="A4"/>
      <selection pane="bottomRight" activeCell="A49" sqref="A49"/>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581</v>
      </c>
      <c r="B1" s="189"/>
      <c r="C1" s="189"/>
      <c r="D1" s="189"/>
      <c r="E1" s="190"/>
      <c r="F1" s="2582" t="s">
        <v>655</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391</v>
      </c>
      <c r="D2" s="208" t="s">
        <v>390</v>
      </c>
      <c r="E2" s="208" t="s">
        <v>25</v>
      </c>
      <c r="F2" s="209" t="str">
        <f>Application!B637&amp;Application!C637</f>
        <v>1)Citi - Tax-Exempt Permanent Loan</v>
      </c>
      <c r="G2" s="209" t="str">
        <f>Application!B638&amp;Application!C638</f>
        <v>2)HCIDLA - HHH</v>
      </c>
      <c r="H2" s="209" t="str">
        <f>Application!B639&amp;Application!C639</f>
        <v>3)Accrued Deferred Interest - HHH</v>
      </c>
      <c r="I2" s="209" t="str">
        <f>Application!B640&amp;Application!C640</f>
        <v>4)LACDA - No Place Like Home</v>
      </c>
      <c r="J2" s="209" t="str">
        <f>Application!B641&amp;Application!C641</f>
        <v>5)General Partner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4300000</v>
      </c>
      <c r="C4" s="217">
        <v>4300000</v>
      </c>
      <c r="D4" s="217"/>
      <c r="E4" s="217">
        <f>C4</f>
        <v>4300000</v>
      </c>
      <c r="F4" s="217"/>
      <c r="G4" s="217"/>
      <c r="H4" s="217"/>
      <c r="I4" s="217"/>
      <c r="J4" s="217"/>
      <c r="K4" s="217"/>
      <c r="L4" s="217"/>
      <c r="M4" s="217"/>
      <c r="N4" s="217"/>
      <c r="O4" s="217"/>
      <c r="P4" s="217"/>
      <c r="Q4" s="217"/>
      <c r="R4" s="878">
        <f>SUM(E4:Q4)</f>
        <v>4300000</v>
      </c>
      <c r="S4" s="218"/>
      <c r="T4" s="218"/>
      <c r="U4" s="213"/>
    </row>
    <row r="5" spans="1:21" s="214" customFormat="1">
      <c r="A5" s="215" t="s">
        <v>29</v>
      </c>
      <c r="B5" s="216">
        <f>SUM(C5+D5)</f>
        <v>156701</v>
      </c>
      <c r="C5" s="217">
        <v>156701</v>
      </c>
      <c r="D5" s="217"/>
      <c r="E5" s="217">
        <f t="shared" ref="E5:E6" si="0">C5</f>
        <v>156701</v>
      </c>
      <c r="F5" s="217"/>
      <c r="G5" s="217"/>
      <c r="H5" s="217"/>
      <c r="I5" s="217"/>
      <c r="J5" s="217"/>
      <c r="K5" s="217"/>
      <c r="L5" s="217"/>
      <c r="M5" s="217"/>
      <c r="N5" s="217"/>
      <c r="O5" s="217"/>
      <c r="P5" s="217"/>
      <c r="Q5" s="217"/>
      <c r="R5" s="878">
        <f>SUM(E5:Q5)</f>
        <v>156701</v>
      </c>
      <c r="S5" s="218"/>
      <c r="T5" s="218"/>
      <c r="U5" s="213"/>
    </row>
    <row r="6" spans="1:21" s="214" customFormat="1">
      <c r="A6" s="215" t="s">
        <v>30</v>
      </c>
      <c r="B6" s="216">
        <f>SUM(C6+D6)</f>
        <v>51489</v>
      </c>
      <c r="C6" s="217">
        <f>31150+20339</f>
        <v>51489</v>
      </c>
      <c r="D6" s="217"/>
      <c r="E6" s="217">
        <f t="shared" si="0"/>
        <v>51489</v>
      </c>
      <c r="F6" s="217"/>
      <c r="G6" s="217"/>
      <c r="H6" s="217"/>
      <c r="I6" s="217"/>
      <c r="J6" s="217"/>
      <c r="K6" s="217"/>
      <c r="L6" s="217"/>
      <c r="M6" s="217"/>
      <c r="N6" s="217"/>
      <c r="O6" s="217"/>
      <c r="P6" s="217"/>
      <c r="Q6" s="217"/>
      <c r="R6" s="878">
        <f>SUM(E6:Q6)</f>
        <v>51489</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4508190</v>
      </c>
      <c r="C8" s="216">
        <f t="shared" ref="C8:Q8" si="1">SUM(C4:C7)</f>
        <v>4508190</v>
      </c>
      <c r="D8" s="216">
        <f t="shared" si="1"/>
        <v>0</v>
      </c>
      <c r="E8" s="216">
        <f t="shared" si="1"/>
        <v>4508190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3">
        <f>SUM(R4:R7)</f>
        <v>4508190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250000</v>
      </c>
      <c r="C10" s="217">
        <v>250000</v>
      </c>
      <c r="D10" s="217"/>
      <c r="E10" s="217">
        <f t="shared" ref="E10" si="2">C10</f>
        <v>250000</v>
      </c>
      <c r="F10" s="217"/>
      <c r="G10" s="217"/>
      <c r="H10" s="217"/>
      <c r="I10" s="217"/>
      <c r="J10" s="217"/>
      <c r="K10" s="217"/>
      <c r="L10" s="217"/>
      <c r="M10" s="217"/>
      <c r="N10" s="217"/>
      <c r="O10" s="217"/>
      <c r="P10" s="217"/>
      <c r="Q10" s="217"/>
      <c r="R10" s="878">
        <f>SUM(E10:Q10)</f>
        <v>250000</v>
      </c>
      <c r="S10" s="217">
        <f>R10</f>
        <v>250000</v>
      </c>
      <c r="T10" s="217"/>
      <c r="U10" s="213"/>
    </row>
    <row r="11" spans="1:21" s="214" customFormat="1">
      <c r="A11" s="219" t="s">
        <v>630</v>
      </c>
      <c r="B11" s="216">
        <f>SUM(C11:D11)</f>
        <v>250000</v>
      </c>
      <c r="C11" s="216">
        <f t="shared" ref="C11:Q11" si="3">SUM(C9:C10)</f>
        <v>250000</v>
      </c>
      <c r="D11" s="216">
        <f t="shared" si="3"/>
        <v>0</v>
      </c>
      <c r="E11" s="216">
        <f t="shared" si="3"/>
        <v>250000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3">
        <f>SUM(R9:R10)</f>
        <v>250000</v>
      </c>
      <c r="S11" s="218"/>
      <c r="T11" s="220">
        <f>SUM(T9:T10)</f>
        <v>0</v>
      </c>
      <c r="U11" s="213"/>
    </row>
    <row r="12" spans="1:21" s="214" customFormat="1">
      <c r="A12" s="219" t="s">
        <v>89</v>
      </c>
      <c r="B12" s="216">
        <f t="shared" ref="B12:Q12" si="4">SUM(B8+B11)</f>
        <v>4758190</v>
      </c>
      <c r="C12" s="216">
        <f t="shared" si="4"/>
        <v>4758190</v>
      </c>
      <c r="D12" s="216">
        <f t="shared" si="4"/>
        <v>0</v>
      </c>
      <c r="E12" s="216">
        <f t="shared" si="4"/>
        <v>4758190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3">
        <f>SUM(R8+R11)</f>
        <v>4758190</v>
      </c>
      <c r="S12" s="218"/>
      <c r="T12" s="218"/>
      <c r="U12" s="213"/>
    </row>
    <row r="13" spans="1:21" s="214" customFormat="1">
      <c r="A13" s="448" t="s">
        <v>970</v>
      </c>
      <c r="B13" s="216">
        <f>SUM(C13+D13)</f>
        <v>513729</v>
      </c>
      <c r="C13" s="217">
        <f>513729</f>
        <v>513729</v>
      </c>
      <c r="D13" s="217"/>
      <c r="E13" s="217">
        <f t="shared" ref="E13" si="5">C13</f>
        <v>513729</v>
      </c>
      <c r="F13" s="217"/>
      <c r="G13" s="217"/>
      <c r="H13" s="217"/>
      <c r="I13" s="217"/>
      <c r="J13" s="217"/>
      <c r="K13" s="217"/>
      <c r="L13" s="217"/>
      <c r="M13" s="217"/>
      <c r="N13" s="217"/>
      <c r="O13" s="217"/>
      <c r="P13" s="217"/>
      <c r="Q13" s="217"/>
      <c r="R13" s="878">
        <f>SUM(E13:Q13)</f>
        <v>513729</v>
      </c>
      <c r="S13" s="217"/>
      <c r="T13" s="217"/>
      <c r="U13" s="213"/>
    </row>
    <row r="14" spans="1:21" s="214" customFormat="1" ht="23">
      <c r="A14" s="449" t="s">
        <v>1994</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6"/>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6"/>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8">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8">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8">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8">
        <f t="shared" si="7"/>
        <v>0</v>
      </c>
      <c r="S23" s="217"/>
      <c r="T23" s="217"/>
      <c r="U23" s="213"/>
    </row>
    <row r="24" spans="1:21" s="214" customFormat="1">
      <c r="A24" s="857" t="s">
        <v>1991</v>
      </c>
      <c r="B24" s="216">
        <f t="shared" si="6"/>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8">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9">SUM(C29+D29)</f>
        <v>1620485</v>
      </c>
      <c r="C29" s="217">
        <f>1045485+575000</f>
        <v>1620485</v>
      </c>
      <c r="D29" s="217"/>
      <c r="E29" s="217">
        <f t="shared" ref="E29:E30" si="10">C29-SUM(F29:I29)</f>
        <v>521874</v>
      </c>
      <c r="F29" s="217"/>
      <c r="G29" s="217"/>
      <c r="H29" s="217"/>
      <c r="I29" s="217">
        <f>Application!AO640-'Sources and Uses Budget'!I30</f>
        <v>1098611</v>
      </c>
      <c r="J29" s="217"/>
      <c r="K29" s="217"/>
      <c r="L29" s="217"/>
      <c r="M29" s="217"/>
      <c r="N29" s="217"/>
      <c r="O29" s="217"/>
      <c r="P29" s="217"/>
      <c r="Q29" s="217"/>
      <c r="R29" s="878">
        <f t="shared" ref="R29:R37" si="11">SUM(E29:Q29)</f>
        <v>1620485</v>
      </c>
      <c r="S29" s="217">
        <f>B29</f>
        <v>1620485</v>
      </c>
      <c r="T29" s="217"/>
      <c r="U29" s="213"/>
    </row>
    <row r="30" spans="1:21" s="214" customFormat="1">
      <c r="A30" s="215" t="s">
        <v>633</v>
      </c>
      <c r="B30" s="216">
        <f t="shared" si="9"/>
        <v>19666945</v>
      </c>
      <c r="C30" s="217">
        <f>20241945-575000</f>
        <v>19666945</v>
      </c>
      <c r="D30" s="217"/>
      <c r="E30" s="217">
        <f t="shared" si="10"/>
        <v>0</v>
      </c>
      <c r="F30" s="217">
        <f>Application!AO637</f>
        <v>6190000</v>
      </c>
      <c r="G30" s="217">
        <f>Application!AO638</f>
        <v>8555556</v>
      </c>
      <c r="H30" s="217"/>
      <c r="I30" s="217">
        <f>MIN('Sources and Uses Budget'!C30-'Sources and Uses Budget'!F30-'Sources and Uses Budget'!G30,Application!AO640)</f>
        <v>4921389</v>
      </c>
      <c r="J30" s="217"/>
      <c r="K30" s="217"/>
      <c r="L30" s="217"/>
      <c r="M30" s="217"/>
      <c r="N30" s="217"/>
      <c r="O30" s="217"/>
      <c r="P30" s="217"/>
      <c r="Q30" s="217"/>
      <c r="R30" s="878">
        <f t="shared" si="11"/>
        <v>19666945</v>
      </c>
      <c r="S30" s="217">
        <f t="shared" ref="S30:S37" si="12">B30</f>
        <v>19666945</v>
      </c>
      <c r="T30" s="217"/>
      <c r="U30" s="213"/>
    </row>
    <row r="31" spans="1:21" s="214" customFormat="1">
      <c r="A31" s="215" t="s">
        <v>634</v>
      </c>
      <c r="B31" s="216">
        <f t="shared" si="9"/>
        <v>1735531</v>
      </c>
      <c r="C31" s="217">
        <v>1735531</v>
      </c>
      <c r="D31" s="217"/>
      <c r="E31" s="217">
        <f>C31-SUM(F31:I31)</f>
        <v>1735531</v>
      </c>
      <c r="F31" s="217"/>
      <c r="G31" s="217"/>
      <c r="H31" s="217"/>
      <c r="I31" s="217"/>
      <c r="J31" s="217"/>
      <c r="K31" s="217"/>
      <c r="L31" s="217"/>
      <c r="M31" s="217"/>
      <c r="N31" s="217"/>
      <c r="O31" s="217"/>
      <c r="P31" s="217"/>
      <c r="Q31" s="217"/>
      <c r="R31" s="878">
        <f t="shared" si="11"/>
        <v>1735531</v>
      </c>
      <c r="S31" s="217">
        <f t="shared" si="12"/>
        <v>1735531</v>
      </c>
      <c r="T31" s="217"/>
      <c r="U31" s="213"/>
    </row>
    <row r="32" spans="1:21" s="214" customFormat="1">
      <c r="A32" s="215" t="s">
        <v>142</v>
      </c>
      <c r="B32" s="216">
        <f t="shared" si="9"/>
        <v>433882.5</v>
      </c>
      <c r="C32" s="217">
        <f>867765/2</f>
        <v>433882.5</v>
      </c>
      <c r="D32" s="217"/>
      <c r="E32" s="217">
        <f t="shared" ref="E32:E36" si="13">C32-SUM(F32:I32)</f>
        <v>433882.5</v>
      </c>
      <c r="F32" s="217"/>
      <c r="G32" s="217"/>
      <c r="H32" s="217"/>
      <c r="I32" s="217"/>
      <c r="J32" s="217"/>
      <c r="K32" s="217"/>
      <c r="L32" s="217"/>
      <c r="M32" s="217"/>
      <c r="N32" s="217"/>
      <c r="O32" s="217"/>
      <c r="P32" s="217"/>
      <c r="Q32" s="217"/>
      <c r="R32" s="878">
        <f t="shared" si="11"/>
        <v>433882.5</v>
      </c>
      <c r="S32" s="217">
        <f t="shared" si="12"/>
        <v>433882.5</v>
      </c>
      <c r="T32" s="217"/>
      <c r="U32" s="213"/>
    </row>
    <row r="33" spans="1:21" s="214" customFormat="1">
      <c r="A33" s="215" t="s">
        <v>143</v>
      </c>
      <c r="B33" s="216">
        <f t="shared" si="9"/>
        <v>433882.5</v>
      </c>
      <c r="C33" s="217">
        <f>867765/2</f>
        <v>433882.5</v>
      </c>
      <c r="D33" s="217"/>
      <c r="E33" s="217">
        <f t="shared" si="13"/>
        <v>433882.5</v>
      </c>
      <c r="F33" s="217"/>
      <c r="G33" s="217"/>
      <c r="H33" s="217"/>
      <c r="I33" s="217"/>
      <c r="J33" s="217"/>
      <c r="K33" s="217"/>
      <c r="L33" s="217"/>
      <c r="M33" s="217"/>
      <c r="N33" s="217"/>
      <c r="O33" s="217"/>
      <c r="P33" s="217"/>
      <c r="Q33" s="217"/>
      <c r="R33" s="878">
        <f t="shared" si="11"/>
        <v>433882.5</v>
      </c>
      <c r="S33" s="217">
        <f t="shared" si="12"/>
        <v>433882.5</v>
      </c>
      <c r="T33" s="217"/>
      <c r="U33" s="213"/>
    </row>
    <row r="34" spans="1:21" s="214" customFormat="1">
      <c r="A34" s="215" t="s">
        <v>144</v>
      </c>
      <c r="B34" s="216">
        <f t="shared" si="9"/>
        <v>0</v>
      </c>
      <c r="C34" s="217"/>
      <c r="D34" s="217"/>
      <c r="E34" s="217">
        <f t="shared" si="13"/>
        <v>0</v>
      </c>
      <c r="F34" s="217"/>
      <c r="G34" s="217"/>
      <c r="H34" s="217"/>
      <c r="I34" s="217"/>
      <c r="J34" s="217"/>
      <c r="K34" s="217"/>
      <c r="L34" s="217"/>
      <c r="M34" s="217"/>
      <c r="N34" s="217"/>
      <c r="O34" s="217"/>
      <c r="P34" s="217"/>
      <c r="Q34" s="217"/>
      <c r="R34" s="878">
        <f t="shared" si="11"/>
        <v>0</v>
      </c>
      <c r="S34" s="217">
        <f t="shared" si="12"/>
        <v>0</v>
      </c>
      <c r="T34" s="217"/>
      <c r="U34" s="213"/>
    </row>
    <row r="35" spans="1:21" s="214" customFormat="1">
      <c r="A35" s="215" t="s">
        <v>145</v>
      </c>
      <c r="B35" s="216">
        <f t="shared" si="9"/>
        <v>607436</v>
      </c>
      <c r="C35" s="217">
        <f>303718*2</f>
        <v>607436</v>
      </c>
      <c r="D35" s="217"/>
      <c r="E35" s="217">
        <f t="shared" si="13"/>
        <v>607436</v>
      </c>
      <c r="F35" s="217"/>
      <c r="G35" s="217"/>
      <c r="H35" s="217"/>
      <c r="I35" s="217"/>
      <c r="J35" s="217"/>
      <c r="K35" s="217"/>
      <c r="L35" s="217"/>
      <c r="M35" s="217"/>
      <c r="N35" s="217"/>
      <c r="O35" s="217"/>
      <c r="P35" s="217"/>
      <c r="Q35" s="217"/>
      <c r="R35" s="878">
        <f t="shared" si="11"/>
        <v>607436</v>
      </c>
      <c r="S35" s="217">
        <f t="shared" si="12"/>
        <v>607436</v>
      </c>
      <c r="T35" s="217"/>
      <c r="U35" s="213"/>
    </row>
    <row r="36" spans="1:21" s="214" customFormat="1">
      <c r="A36" s="1808" t="s">
        <v>1991</v>
      </c>
      <c r="B36" s="216">
        <f t="shared" si="9"/>
        <v>0</v>
      </c>
      <c r="C36" s="217"/>
      <c r="D36" s="217"/>
      <c r="E36" s="217">
        <f t="shared" si="13"/>
        <v>0</v>
      </c>
      <c r="F36" s="217"/>
      <c r="G36" s="217"/>
      <c r="H36" s="217"/>
      <c r="I36" s="217"/>
      <c r="J36" s="217"/>
      <c r="K36" s="217"/>
      <c r="L36" s="217"/>
      <c r="M36" s="217"/>
      <c r="N36" s="217"/>
      <c r="O36" s="217"/>
      <c r="P36" s="217"/>
      <c r="Q36" s="217"/>
      <c r="R36" s="878">
        <f t="shared" si="11"/>
        <v>0</v>
      </c>
      <c r="S36" s="217">
        <f t="shared" si="12"/>
        <v>0</v>
      </c>
      <c r="T36" s="217"/>
      <c r="U36" s="213"/>
    </row>
    <row r="37" spans="1:21" s="214" customFormat="1">
      <c r="A37" s="222" t="s">
        <v>35</v>
      </c>
      <c r="B37" s="216">
        <f t="shared" si="9"/>
        <v>0</v>
      </c>
      <c r="C37" s="217"/>
      <c r="D37" s="217"/>
      <c r="E37" s="217"/>
      <c r="F37" s="217"/>
      <c r="G37" s="217"/>
      <c r="H37" s="217"/>
      <c r="I37" s="217"/>
      <c r="J37" s="217"/>
      <c r="K37" s="217"/>
      <c r="L37" s="217"/>
      <c r="M37" s="217"/>
      <c r="N37" s="217"/>
      <c r="O37" s="217"/>
      <c r="P37" s="217"/>
      <c r="Q37" s="217"/>
      <c r="R37" s="878">
        <f t="shared" si="11"/>
        <v>0</v>
      </c>
      <c r="S37" s="217">
        <f t="shared" si="12"/>
        <v>0</v>
      </c>
      <c r="T37" s="217"/>
      <c r="U37" s="213"/>
    </row>
    <row r="38" spans="1:21" s="214" customFormat="1">
      <c r="A38" s="219" t="s">
        <v>148</v>
      </c>
      <c r="B38" s="216">
        <f t="shared" si="9"/>
        <v>24498162</v>
      </c>
      <c r="C38" s="216">
        <f>SUM(C29:C37)</f>
        <v>24498162</v>
      </c>
      <c r="D38" s="216">
        <f t="shared" ref="D38:Q38" si="14">SUM(D29:D37)</f>
        <v>0</v>
      </c>
      <c r="E38" s="216">
        <f t="shared" si="14"/>
        <v>3732606</v>
      </c>
      <c r="F38" s="216">
        <f t="shared" si="14"/>
        <v>6190000</v>
      </c>
      <c r="G38" s="216">
        <f t="shared" si="14"/>
        <v>8555556</v>
      </c>
      <c r="H38" s="216">
        <f t="shared" si="14"/>
        <v>0</v>
      </c>
      <c r="I38" s="216">
        <f t="shared" si="14"/>
        <v>6020000</v>
      </c>
      <c r="J38" s="216">
        <f t="shared" si="14"/>
        <v>0</v>
      </c>
      <c r="K38" s="216">
        <f t="shared" si="14"/>
        <v>0</v>
      </c>
      <c r="L38" s="216">
        <f t="shared" si="14"/>
        <v>0</v>
      </c>
      <c r="M38" s="216">
        <f t="shared" si="14"/>
        <v>0</v>
      </c>
      <c r="N38" s="216">
        <f t="shared" si="14"/>
        <v>0</v>
      </c>
      <c r="O38" s="216">
        <f t="shared" si="14"/>
        <v>0</v>
      </c>
      <c r="P38" s="216">
        <f t="shared" si="14"/>
        <v>0</v>
      </c>
      <c r="Q38" s="216">
        <f t="shared" si="14"/>
        <v>0</v>
      </c>
      <c r="R38" s="533">
        <f>SUM(R29:R37)</f>
        <v>24498162</v>
      </c>
      <c r="S38" s="220">
        <f>SUM(S29:S37)</f>
        <v>24498162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1507970</v>
      </c>
      <c r="C40" s="217">
        <f>1145470+362500</f>
        <v>1507970</v>
      </c>
      <c r="D40" s="217"/>
      <c r="E40" s="217">
        <f t="shared" ref="E40" si="15">C40-SUM(F40:I40)</f>
        <v>1507970</v>
      </c>
      <c r="F40" s="217"/>
      <c r="G40" s="217"/>
      <c r="H40" s="217"/>
      <c r="I40" s="217"/>
      <c r="J40" s="217"/>
      <c r="K40" s="217"/>
      <c r="L40" s="217"/>
      <c r="M40" s="217"/>
      <c r="N40" s="217"/>
      <c r="O40" s="217"/>
      <c r="P40" s="217"/>
      <c r="Q40" s="217"/>
      <c r="R40" s="878">
        <f>SUM(E40:Q40)</f>
        <v>1507970</v>
      </c>
      <c r="S40" s="217">
        <f>B40</f>
        <v>1507970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1507970</v>
      </c>
      <c r="C42" s="216">
        <f>SUM(C39:C41)</f>
        <v>1507970</v>
      </c>
      <c r="D42" s="216">
        <f>SUM(D39:D41)</f>
        <v>0</v>
      </c>
      <c r="E42" s="216">
        <f t="shared" ref="E42:T42" si="16">SUM(E40:E41)</f>
        <v>1507970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3">
        <f>SUM(R40:R41)</f>
        <v>1507970</v>
      </c>
      <c r="S42" s="220">
        <f t="shared" si="16"/>
        <v>1507970</v>
      </c>
      <c r="T42" s="220">
        <f t="shared" si="16"/>
        <v>0</v>
      </c>
      <c r="U42" s="213"/>
    </row>
    <row r="43" spans="1:21" s="214" customFormat="1">
      <c r="A43" s="219" t="s">
        <v>153</v>
      </c>
      <c r="B43" s="216">
        <f>SUM(C43:D43)</f>
        <v>219725</v>
      </c>
      <c r="C43" s="217">
        <f>73400+25000+15000+15000+16900+70325+4100</f>
        <v>219725</v>
      </c>
      <c r="D43" s="217"/>
      <c r="E43" s="217">
        <f t="shared" ref="E43" si="17">C43-SUM(F43:I43)</f>
        <v>219725</v>
      </c>
      <c r="F43" s="217"/>
      <c r="G43" s="217"/>
      <c r="H43" s="217"/>
      <c r="I43" s="217"/>
      <c r="J43" s="217"/>
      <c r="K43" s="217"/>
      <c r="L43" s="217"/>
      <c r="M43" s="217"/>
      <c r="N43" s="217"/>
      <c r="O43" s="217"/>
      <c r="P43" s="217"/>
      <c r="Q43" s="217"/>
      <c r="R43" s="878">
        <f>SUM(E43:Q43)</f>
        <v>219725</v>
      </c>
      <c r="S43" s="217">
        <f>B43</f>
        <v>219725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1702145</v>
      </c>
      <c r="C45" s="217">
        <f>1134677+203669+304797+59000+2</f>
        <v>1702145</v>
      </c>
      <c r="D45" s="217"/>
      <c r="E45" s="217">
        <f t="shared" ref="E45:E46" si="19">C45-SUM(F45:I45)</f>
        <v>1571222</v>
      </c>
      <c r="F45" s="217"/>
      <c r="G45" s="217"/>
      <c r="H45" s="217">
        <f>Application!AO639</f>
        <v>130923</v>
      </c>
      <c r="I45" s="217"/>
      <c r="J45" s="217"/>
      <c r="K45" s="217"/>
      <c r="L45" s="217"/>
      <c r="M45" s="217"/>
      <c r="N45" s="217"/>
      <c r="O45" s="217"/>
      <c r="P45" s="217"/>
      <c r="Q45" s="217"/>
      <c r="R45" s="878">
        <f t="shared" ref="R45:R53" si="20">SUM(E45:Q45)</f>
        <v>1702145</v>
      </c>
      <c r="S45" s="217">
        <f>537479+113150+173874+59000</f>
        <v>883503</v>
      </c>
      <c r="T45" s="217"/>
      <c r="U45" s="213"/>
    </row>
    <row r="46" spans="1:21" s="214" customFormat="1">
      <c r="A46" s="215" t="s">
        <v>156</v>
      </c>
      <c r="B46" s="216">
        <f t="shared" si="18"/>
        <v>197069</v>
      </c>
      <c r="C46" s="217">
        <v>197069</v>
      </c>
      <c r="D46" s="217"/>
      <c r="E46" s="217">
        <f t="shared" si="19"/>
        <v>197069</v>
      </c>
      <c r="F46" s="217"/>
      <c r="G46" s="217"/>
      <c r="H46" s="217"/>
      <c r="I46" s="217"/>
      <c r="J46" s="217"/>
      <c r="K46" s="217"/>
      <c r="L46" s="217"/>
      <c r="M46" s="217"/>
      <c r="N46" s="217"/>
      <c r="O46" s="217"/>
      <c r="P46" s="217"/>
      <c r="Q46" s="217"/>
      <c r="R46" s="878">
        <f t="shared" si="20"/>
        <v>197069</v>
      </c>
      <c r="S46" s="217">
        <v>95647</v>
      </c>
      <c r="T46" s="217"/>
      <c r="U46" s="213"/>
    </row>
    <row r="47" spans="1:21" s="214" customFormat="1">
      <c r="A47" s="297" t="s">
        <v>157</v>
      </c>
      <c r="B47" s="216">
        <f t="shared" si="18"/>
        <v>0</v>
      </c>
      <c r="C47" s="217"/>
      <c r="D47" s="217"/>
      <c r="E47" s="217"/>
      <c r="F47" s="217"/>
      <c r="G47" s="217"/>
      <c r="H47" s="217"/>
      <c r="I47" s="217"/>
      <c r="J47" s="217"/>
      <c r="K47" s="217"/>
      <c r="L47" s="217"/>
      <c r="M47" s="217"/>
      <c r="N47" s="217"/>
      <c r="O47" s="217"/>
      <c r="P47" s="217"/>
      <c r="Q47" s="217"/>
      <c r="R47" s="878">
        <f t="shared" si="20"/>
        <v>0</v>
      </c>
      <c r="S47" s="217"/>
      <c r="T47" s="217"/>
      <c r="U47" s="213"/>
    </row>
    <row r="48" spans="1:21" s="214" customFormat="1">
      <c r="A48" s="215" t="s">
        <v>158</v>
      </c>
      <c r="B48" s="216">
        <f t="shared" si="18"/>
        <v>0</v>
      </c>
      <c r="C48" s="217"/>
      <c r="D48" s="217"/>
      <c r="E48" s="217"/>
      <c r="F48" s="217"/>
      <c r="G48" s="217"/>
      <c r="H48" s="217"/>
      <c r="I48" s="217"/>
      <c r="J48" s="217"/>
      <c r="K48" s="217"/>
      <c r="L48" s="217"/>
      <c r="M48" s="217"/>
      <c r="N48" s="217"/>
      <c r="O48" s="217"/>
      <c r="P48" s="217"/>
      <c r="Q48" s="217"/>
      <c r="R48" s="878">
        <f t="shared" si="20"/>
        <v>0</v>
      </c>
      <c r="S48" s="217"/>
      <c r="T48" s="217"/>
      <c r="U48" s="213"/>
    </row>
    <row r="49" spans="1:21" s="214" customFormat="1">
      <c r="A49" s="215" t="s">
        <v>60</v>
      </c>
      <c r="B49" s="216">
        <f t="shared" si="18"/>
        <v>288281</v>
      </c>
      <c r="C49" s="217">
        <f>75000+40000+6000+51608+57608+20000+8065+5000+25000</f>
        <v>288281</v>
      </c>
      <c r="D49" s="217"/>
      <c r="E49" s="217">
        <f t="shared" ref="E49:E53" si="21">C49-SUM(F49:I49)</f>
        <v>288281</v>
      </c>
      <c r="F49" s="217"/>
      <c r="G49" s="217"/>
      <c r="H49" s="217"/>
      <c r="I49" s="217"/>
      <c r="J49" s="217"/>
      <c r="K49" s="217"/>
      <c r="L49" s="217"/>
      <c r="M49" s="217"/>
      <c r="N49" s="217"/>
      <c r="O49" s="217"/>
      <c r="P49" s="217"/>
      <c r="Q49" s="217"/>
      <c r="R49" s="878">
        <f t="shared" si="20"/>
        <v>288281</v>
      </c>
      <c r="S49" s="217"/>
      <c r="T49" s="217"/>
      <c r="U49" s="213"/>
    </row>
    <row r="50" spans="1:21" s="214" customFormat="1">
      <c r="A50" s="215" t="s">
        <v>161</v>
      </c>
      <c r="B50" s="216">
        <f t="shared" si="18"/>
        <v>78000</v>
      </c>
      <c r="C50" s="217">
        <v>78000</v>
      </c>
      <c r="D50" s="217"/>
      <c r="E50" s="217">
        <f t="shared" si="21"/>
        <v>78000</v>
      </c>
      <c r="F50" s="217"/>
      <c r="G50" s="217"/>
      <c r="H50" s="217"/>
      <c r="I50" s="217"/>
      <c r="J50" s="217"/>
      <c r="K50" s="217"/>
      <c r="L50" s="217"/>
      <c r="M50" s="217"/>
      <c r="N50" s="217"/>
      <c r="O50" s="217"/>
      <c r="P50" s="217"/>
      <c r="Q50" s="217"/>
      <c r="R50" s="878">
        <f t="shared" si="20"/>
        <v>78000</v>
      </c>
      <c r="S50" s="217">
        <f>B50</f>
        <v>78000</v>
      </c>
      <c r="T50" s="217"/>
      <c r="U50" s="213"/>
    </row>
    <row r="51" spans="1:21" s="214" customFormat="1">
      <c r="A51" s="439" t="s">
        <v>159</v>
      </c>
      <c r="B51" s="216">
        <f t="shared" si="18"/>
        <v>80625</v>
      </c>
      <c r="C51" s="217">
        <v>80625</v>
      </c>
      <c r="D51" s="217"/>
      <c r="E51" s="217">
        <f t="shared" si="21"/>
        <v>80625</v>
      </c>
      <c r="F51" s="217"/>
      <c r="G51" s="217"/>
      <c r="H51" s="217"/>
      <c r="I51" s="217"/>
      <c r="J51" s="217"/>
      <c r="K51" s="217"/>
      <c r="L51" s="217"/>
      <c r="M51" s="217"/>
      <c r="N51" s="217"/>
      <c r="O51" s="217"/>
      <c r="P51" s="217"/>
      <c r="Q51" s="217"/>
      <c r="R51" s="878">
        <f t="shared" si="20"/>
        <v>80625</v>
      </c>
      <c r="S51" s="217">
        <f>B51</f>
        <v>80625</v>
      </c>
      <c r="T51" s="217"/>
      <c r="U51" s="213"/>
    </row>
    <row r="52" spans="1:21" s="214" customFormat="1">
      <c r="A52" s="215" t="s">
        <v>160</v>
      </c>
      <c r="B52" s="216">
        <f t="shared" si="18"/>
        <v>220000</v>
      </c>
      <c r="C52" s="217">
        <v>220000</v>
      </c>
      <c r="D52" s="217"/>
      <c r="E52" s="217">
        <f t="shared" si="21"/>
        <v>220000</v>
      </c>
      <c r="F52" s="217"/>
      <c r="G52" s="217"/>
      <c r="H52" s="217"/>
      <c r="I52" s="217"/>
      <c r="J52" s="217"/>
      <c r="K52" s="217"/>
      <c r="L52" s="217"/>
      <c r="M52" s="217"/>
      <c r="N52" s="217"/>
      <c r="O52" s="217"/>
      <c r="P52" s="217"/>
      <c r="Q52" s="217"/>
      <c r="R52" s="878">
        <f t="shared" si="20"/>
        <v>220000</v>
      </c>
      <c r="S52" s="217">
        <f>B52</f>
        <v>220000</v>
      </c>
      <c r="T52" s="217"/>
      <c r="U52" s="213"/>
    </row>
    <row r="53" spans="1:21" s="214" customFormat="1">
      <c r="A53" s="1856" t="s">
        <v>2652</v>
      </c>
      <c r="B53" s="216">
        <f t="shared" si="18"/>
        <v>37000</v>
      </c>
      <c r="C53" s="217">
        <v>37000</v>
      </c>
      <c r="D53" s="217"/>
      <c r="E53" s="217">
        <f t="shared" si="21"/>
        <v>37000</v>
      </c>
      <c r="F53" s="217"/>
      <c r="G53" s="217"/>
      <c r="H53" s="217"/>
      <c r="I53" s="217"/>
      <c r="J53" s="217"/>
      <c r="K53" s="217"/>
      <c r="L53" s="217"/>
      <c r="M53" s="217"/>
      <c r="N53" s="217"/>
      <c r="O53" s="217"/>
      <c r="P53" s="217"/>
      <c r="Q53" s="217"/>
      <c r="R53" s="878">
        <f t="shared" si="20"/>
        <v>37000</v>
      </c>
      <c r="S53" s="217">
        <v>17958</v>
      </c>
      <c r="T53" s="217"/>
      <c r="U53" s="213"/>
    </row>
    <row r="54" spans="1:21" s="224" customFormat="1">
      <c r="A54" s="219" t="s">
        <v>162</v>
      </c>
      <c r="B54" s="220">
        <f>SUM(C54:D54)</f>
        <v>2603120</v>
      </c>
      <c r="C54" s="220">
        <f t="shared" ref="C54:T54" si="22">SUM(C45:C53)</f>
        <v>2603120</v>
      </c>
      <c r="D54" s="220">
        <f t="shared" si="22"/>
        <v>0</v>
      </c>
      <c r="E54" s="220">
        <f t="shared" si="22"/>
        <v>2472197</v>
      </c>
      <c r="F54" s="220">
        <f t="shared" si="22"/>
        <v>0</v>
      </c>
      <c r="G54" s="220">
        <f t="shared" si="22"/>
        <v>0</v>
      </c>
      <c r="H54" s="220">
        <f t="shared" si="22"/>
        <v>130923</v>
      </c>
      <c r="I54" s="220">
        <f t="shared" si="22"/>
        <v>0</v>
      </c>
      <c r="J54" s="220">
        <f t="shared" si="22"/>
        <v>0</v>
      </c>
      <c r="K54" s="220">
        <f t="shared" si="22"/>
        <v>0</v>
      </c>
      <c r="L54" s="220">
        <f t="shared" si="22"/>
        <v>0</v>
      </c>
      <c r="M54" s="220">
        <f t="shared" si="22"/>
        <v>0</v>
      </c>
      <c r="N54" s="220">
        <f t="shared" si="22"/>
        <v>0</v>
      </c>
      <c r="O54" s="220">
        <f t="shared" si="22"/>
        <v>0</v>
      </c>
      <c r="P54" s="220">
        <f t="shared" si="22"/>
        <v>0</v>
      </c>
      <c r="Q54" s="220">
        <f t="shared" si="22"/>
        <v>0</v>
      </c>
      <c r="R54" s="533">
        <f t="shared" si="22"/>
        <v>2603120</v>
      </c>
      <c r="S54" s="220">
        <f t="shared" si="22"/>
        <v>1375733</v>
      </c>
      <c r="T54" s="220">
        <f t="shared" si="22"/>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61900</v>
      </c>
      <c r="C56" s="217">
        <v>61900</v>
      </c>
      <c r="D56" s="217"/>
      <c r="E56" s="217">
        <f t="shared" ref="E56:E61" si="24">C56-SUM(F56:I56)</f>
        <v>61900</v>
      </c>
      <c r="F56" s="217"/>
      <c r="G56" s="217"/>
      <c r="H56" s="217"/>
      <c r="I56" s="217"/>
      <c r="J56" s="217"/>
      <c r="K56" s="217"/>
      <c r="L56" s="217"/>
      <c r="M56" s="217"/>
      <c r="N56" s="217"/>
      <c r="O56" s="217"/>
      <c r="P56" s="217"/>
      <c r="Q56" s="217"/>
      <c r="R56" s="878">
        <f t="shared" ref="R56:R61" si="25">SUM(E56:Q56)</f>
        <v>61900</v>
      </c>
      <c r="S56" s="218"/>
      <c r="T56" s="218"/>
      <c r="U56" s="213"/>
    </row>
    <row r="57" spans="1:21" s="303" customFormat="1">
      <c r="A57" s="297" t="s">
        <v>157</v>
      </c>
      <c r="B57" s="304">
        <f t="shared" si="23"/>
        <v>0</v>
      </c>
      <c r="C57" s="301"/>
      <c r="D57" s="301"/>
      <c r="E57" s="217">
        <f t="shared" si="24"/>
        <v>0</v>
      </c>
      <c r="F57" s="301"/>
      <c r="G57" s="301"/>
      <c r="H57" s="301"/>
      <c r="I57" s="301"/>
      <c r="J57" s="301"/>
      <c r="K57" s="301"/>
      <c r="L57" s="301"/>
      <c r="M57" s="301"/>
      <c r="N57" s="301"/>
      <c r="O57" s="301"/>
      <c r="P57" s="301"/>
      <c r="Q57" s="301"/>
      <c r="R57" s="878">
        <f t="shared" si="25"/>
        <v>0</v>
      </c>
      <c r="S57" s="305"/>
      <c r="T57" s="305"/>
      <c r="U57" s="302"/>
    </row>
    <row r="58" spans="1:21" s="214" customFormat="1">
      <c r="A58" s="215" t="s">
        <v>161</v>
      </c>
      <c r="B58" s="216">
        <f t="shared" si="23"/>
        <v>12000</v>
      </c>
      <c r="C58" s="217">
        <v>12000</v>
      </c>
      <c r="D58" s="217"/>
      <c r="E58" s="217">
        <f t="shared" si="24"/>
        <v>12000</v>
      </c>
      <c r="F58" s="217"/>
      <c r="G58" s="217"/>
      <c r="H58" s="217"/>
      <c r="I58" s="217"/>
      <c r="J58" s="217"/>
      <c r="K58" s="217"/>
      <c r="L58" s="217"/>
      <c r="M58" s="217"/>
      <c r="N58" s="217"/>
      <c r="O58" s="217"/>
      <c r="P58" s="217"/>
      <c r="Q58" s="217"/>
      <c r="R58" s="878">
        <f t="shared" si="25"/>
        <v>12000</v>
      </c>
      <c r="S58" s="218"/>
      <c r="T58" s="218"/>
      <c r="U58" s="213"/>
    </row>
    <row r="59" spans="1:21" s="214" customFormat="1">
      <c r="A59" s="439" t="s">
        <v>159</v>
      </c>
      <c r="B59" s="216">
        <f t="shared" si="23"/>
        <v>0</v>
      </c>
      <c r="C59" s="217"/>
      <c r="D59" s="217"/>
      <c r="E59" s="217">
        <f t="shared" si="24"/>
        <v>0</v>
      </c>
      <c r="F59" s="217"/>
      <c r="G59" s="217"/>
      <c r="H59" s="217"/>
      <c r="I59" s="217"/>
      <c r="J59" s="217"/>
      <c r="K59" s="217"/>
      <c r="L59" s="217"/>
      <c r="M59" s="217"/>
      <c r="N59" s="217"/>
      <c r="O59" s="217"/>
      <c r="P59" s="217"/>
      <c r="Q59" s="217"/>
      <c r="R59" s="878">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78">
        <f t="shared" si="25"/>
        <v>0</v>
      </c>
      <c r="S60" s="218"/>
      <c r="T60" s="218"/>
      <c r="U60" s="213"/>
    </row>
    <row r="61" spans="1:21" s="214" customFormat="1">
      <c r="A61" s="1856" t="s">
        <v>2653</v>
      </c>
      <c r="B61" s="216">
        <f t="shared" si="23"/>
        <v>10000</v>
      </c>
      <c r="C61" s="217">
        <v>10000</v>
      </c>
      <c r="D61" s="217"/>
      <c r="E61" s="217">
        <f t="shared" si="24"/>
        <v>10000</v>
      </c>
      <c r="F61" s="217"/>
      <c r="G61" s="217"/>
      <c r="H61" s="217"/>
      <c r="I61" s="217"/>
      <c r="J61" s="217"/>
      <c r="K61" s="217"/>
      <c r="L61" s="217"/>
      <c r="M61" s="217"/>
      <c r="N61" s="217"/>
      <c r="O61" s="217"/>
      <c r="P61" s="217"/>
      <c r="Q61" s="217"/>
      <c r="R61" s="878">
        <f t="shared" si="25"/>
        <v>10000</v>
      </c>
      <c r="S61" s="218"/>
      <c r="T61" s="218"/>
      <c r="U61" s="213"/>
    </row>
    <row r="62" spans="1:21" s="214" customFormat="1" ht="13.75" customHeight="1">
      <c r="A62" s="219" t="s">
        <v>308</v>
      </c>
      <c r="B62" s="216">
        <f>SUM(C62:D62)</f>
        <v>83900</v>
      </c>
      <c r="C62" s="216">
        <f t="shared" ref="C62:R62" si="26">SUM(C56:C61)</f>
        <v>83900</v>
      </c>
      <c r="D62" s="216">
        <f t="shared" si="26"/>
        <v>0</v>
      </c>
      <c r="E62" s="216">
        <f t="shared" si="26"/>
        <v>83900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33">
        <f t="shared" si="26"/>
        <v>83900</v>
      </c>
      <c r="S62" s="218"/>
      <c r="T62" s="218"/>
      <c r="U62" s="213"/>
    </row>
    <row r="63" spans="1:21" s="214" customFormat="1">
      <c r="A63" s="225" t="s">
        <v>309</v>
      </c>
      <c r="B63" s="216">
        <f t="shared" ref="B63:R63" si="27">SUM(B8+B11+B13+B14+B15+B26+B27+B38+B42+B43+B54+B62)</f>
        <v>34184796</v>
      </c>
      <c r="C63" s="216">
        <f t="shared" si="27"/>
        <v>34184796</v>
      </c>
      <c r="D63" s="216">
        <f t="shared" si="27"/>
        <v>0</v>
      </c>
      <c r="E63" s="216">
        <f t="shared" si="27"/>
        <v>13288317</v>
      </c>
      <c r="F63" s="216">
        <f t="shared" si="27"/>
        <v>6190000</v>
      </c>
      <c r="G63" s="216">
        <f t="shared" si="27"/>
        <v>8555556</v>
      </c>
      <c r="H63" s="216">
        <f t="shared" si="27"/>
        <v>130923</v>
      </c>
      <c r="I63" s="216">
        <f t="shared" si="27"/>
        <v>6020000</v>
      </c>
      <c r="J63" s="216">
        <f t="shared" si="27"/>
        <v>0</v>
      </c>
      <c r="K63" s="216">
        <f t="shared" si="27"/>
        <v>0</v>
      </c>
      <c r="L63" s="216">
        <f t="shared" si="27"/>
        <v>0</v>
      </c>
      <c r="M63" s="216">
        <f t="shared" si="27"/>
        <v>0</v>
      </c>
      <c r="N63" s="216">
        <f t="shared" si="27"/>
        <v>0</v>
      </c>
      <c r="O63" s="216">
        <f t="shared" si="27"/>
        <v>0</v>
      </c>
      <c r="P63" s="216">
        <f t="shared" si="27"/>
        <v>0</v>
      </c>
      <c r="Q63" s="216">
        <f t="shared" si="27"/>
        <v>0</v>
      </c>
      <c r="R63" s="533">
        <f t="shared" si="27"/>
        <v>34184796</v>
      </c>
      <c r="S63" s="216">
        <f>SUM(S10+S13+S14+S15+S26+S27+S38+S42+S43+S54)</f>
        <v>27851590</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80000</v>
      </c>
      <c r="C65" s="217">
        <f>60000+20000</f>
        <v>80000</v>
      </c>
      <c r="D65" s="217"/>
      <c r="E65" s="217">
        <f t="shared" ref="E65:E69" si="28">C65-SUM(F65:I65)</f>
        <v>80000</v>
      </c>
      <c r="F65" s="217"/>
      <c r="G65" s="217"/>
      <c r="H65" s="217"/>
      <c r="I65" s="217"/>
      <c r="J65" s="217"/>
      <c r="K65" s="217"/>
      <c r="L65" s="217"/>
      <c r="M65" s="217"/>
      <c r="N65" s="217"/>
      <c r="O65" s="217"/>
      <c r="P65" s="217"/>
      <c r="Q65" s="217"/>
      <c r="R65" s="878">
        <f>SUM(E65:Q65)</f>
        <v>80000</v>
      </c>
      <c r="S65" s="217">
        <v>29121</v>
      </c>
      <c r="T65" s="217"/>
      <c r="U65" s="213"/>
    </row>
    <row r="66" spans="1:21" s="214" customFormat="1" ht="24" customHeight="1">
      <c r="A66" s="439" t="s">
        <v>1992</v>
      </c>
      <c r="B66" s="216">
        <f t="shared" ref="B66:B69" si="29">SUM(C66+D66)</f>
        <v>0</v>
      </c>
      <c r="C66" s="217"/>
      <c r="D66" s="217"/>
      <c r="E66" s="217">
        <f t="shared" si="28"/>
        <v>0</v>
      </c>
      <c r="F66" s="217"/>
      <c r="G66" s="217"/>
      <c r="H66" s="217"/>
      <c r="I66" s="217"/>
      <c r="J66" s="217"/>
      <c r="K66" s="217"/>
      <c r="L66" s="217"/>
      <c r="M66" s="217"/>
      <c r="N66" s="217"/>
      <c r="O66" s="217"/>
      <c r="P66" s="217"/>
      <c r="Q66" s="217"/>
      <c r="R66" s="878">
        <f t="shared" ref="R66:R68" si="30">SUM(E66:Q66)</f>
        <v>0</v>
      </c>
      <c r="S66" s="217"/>
      <c r="T66" s="217"/>
      <c r="U66" s="213"/>
    </row>
    <row r="67" spans="1:21" s="214" customFormat="1" ht="24" customHeight="1">
      <c r="A67" s="439" t="s">
        <v>1993</v>
      </c>
      <c r="B67" s="216">
        <f t="shared" si="29"/>
        <v>60000</v>
      </c>
      <c r="C67" s="217">
        <v>60000</v>
      </c>
      <c r="D67" s="217"/>
      <c r="E67" s="217">
        <f t="shared" si="28"/>
        <v>60000</v>
      </c>
      <c r="F67" s="217"/>
      <c r="G67" s="217"/>
      <c r="H67" s="217"/>
      <c r="I67" s="217"/>
      <c r="J67" s="217"/>
      <c r="K67" s="217"/>
      <c r="L67" s="217"/>
      <c r="M67" s="217"/>
      <c r="N67" s="217"/>
      <c r="O67" s="217"/>
      <c r="P67" s="217"/>
      <c r="Q67" s="217"/>
      <c r="R67" s="878">
        <f t="shared" si="30"/>
        <v>60000</v>
      </c>
      <c r="S67" s="217">
        <f>B67</f>
        <v>60000</v>
      </c>
      <c r="T67" s="217"/>
      <c r="U67" s="213"/>
    </row>
    <row r="68" spans="1:21" s="214" customFormat="1" ht="12" customHeight="1">
      <c r="A68" s="439" t="s">
        <v>1999</v>
      </c>
      <c r="B68" s="216">
        <f t="shared" si="29"/>
        <v>0</v>
      </c>
      <c r="C68" s="217"/>
      <c r="D68" s="217"/>
      <c r="E68" s="217">
        <f t="shared" si="28"/>
        <v>0</v>
      </c>
      <c r="F68" s="217"/>
      <c r="G68" s="217"/>
      <c r="H68" s="217"/>
      <c r="I68" s="217"/>
      <c r="J68" s="217"/>
      <c r="K68" s="217"/>
      <c r="L68" s="217"/>
      <c r="M68" s="217"/>
      <c r="N68" s="217"/>
      <c r="O68" s="217"/>
      <c r="P68" s="217"/>
      <c r="Q68" s="217"/>
      <c r="R68" s="878">
        <f t="shared" si="30"/>
        <v>0</v>
      </c>
      <c r="S68" s="217"/>
      <c r="T68" s="217"/>
      <c r="U68" s="213"/>
    </row>
    <row r="69" spans="1:21" s="214" customFormat="1">
      <c r="A69" s="1856" t="s">
        <v>2637</v>
      </c>
      <c r="B69" s="216">
        <f t="shared" si="29"/>
        <v>75000</v>
      </c>
      <c r="C69" s="217">
        <f>75000</f>
        <v>75000</v>
      </c>
      <c r="D69" s="217"/>
      <c r="E69" s="217">
        <f t="shared" si="28"/>
        <v>75000</v>
      </c>
      <c r="F69" s="217"/>
      <c r="G69" s="217"/>
      <c r="H69" s="217"/>
      <c r="I69" s="217"/>
      <c r="J69" s="217"/>
      <c r="K69" s="217"/>
      <c r="L69" s="217"/>
      <c r="M69" s="217"/>
      <c r="N69" s="217"/>
      <c r="O69" s="217"/>
      <c r="P69" s="217"/>
      <c r="Q69" s="217"/>
      <c r="R69" s="878">
        <f>SUM(E69:Q69)</f>
        <v>75000</v>
      </c>
      <c r="S69" s="217">
        <f>B69</f>
        <v>75000</v>
      </c>
      <c r="T69" s="217"/>
      <c r="U69" s="213"/>
    </row>
    <row r="70" spans="1:21" s="214" customFormat="1">
      <c r="A70" s="219" t="s">
        <v>1996</v>
      </c>
      <c r="B70" s="216">
        <f>SUM(C70:D70)</f>
        <v>215000</v>
      </c>
      <c r="C70" s="216">
        <f>SUM(C65:C69)</f>
        <v>215000</v>
      </c>
      <c r="D70" s="216">
        <f>SUM(D65:D69)</f>
        <v>0</v>
      </c>
      <c r="E70" s="216">
        <f t="shared" ref="E70:T70" si="31">SUM(E65:E69)</f>
        <v>215000</v>
      </c>
      <c r="F70" s="216">
        <f t="shared" si="31"/>
        <v>0</v>
      </c>
      <c r="G70" s="216">
        <f t="shared" si="31"/>
        <v>0</v>
      </c>
      <c r="H70" s="216">
        <f t="shared" si="31"/>
        <v>0</v>
      </c>
      <c r="I70" s="216">
        <f t="shared" si="31"/>
        <v>0</v>
      </c>
      <c r="J70" s="216">
        <f t="shared" si="31"/>
        <v>0</v>
      </c>
      <c r="K70" s="216">
        <f t="shared" si="31"/>
        <v>0</v>
      </c>
      <c r="L70" s="216">
        <f t="shared" si="31"/>
        <v>0</v>
      </c>
      <c r="M70" s="216">
        <f t="shared" si="31"/>
        <v>0</v>
      </c>
      <c r="N70" s="216">
        <f t="shared" si="31"/>
        <v>0</v>
      </c>
      <c r="O70" s="216">
        <f t="shared" si="31"/>
        <v>0</v>
      </c>
      <c r="P70" s="216">
        <f t="shared" si="31"/>
        <v>0</v>
      </c>
      <c r="Q70" s="216">
        <f t="shared" si="31"/>
        <v>0</v>
      </c>
      <c r="R70" s="533">
        <f t="shared" si="31"/>
        <v>215000</v>
      </c>
      <c r="S70" s="220">
        <f t="shared" si="31"/>
        <v>164121</v>
      </c>
      <c r="T70" s="220">
        <f t="shared" si="31"/>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2">C72-SUM(F72:I72)</f>
        <v>0</v>
      </c>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f t="shared" si="32"/>
        <v>0</v>
      </c>
      <c r="F73" s="217"/>
      <c r="G73" s="217"/>
      <c r="H73" s="217"/>
      <c r="I73" s="217"/>
      <c r="J73" s="217"/>
      <c r="K73" s="217"/>
      <c r="L73" s="217"/>
      <c r="M73" s="217"/>
      <c r="N73" s="217"/>
      <c r="O73" s="217"/>
      <c r="P73" s="217"/>
      <c r="Q73" s="217"/>
      <c r="R73" s="878">
        <f>SUM(E73:Q73)</f>
        <v>0</v>
      </c>
      <c r="S73" s="218"/>
      <c r="T73" s="218"/>
      <c r="U73" s="213"/>
    </row>
    <row r="74" spans="1:21" s="214" customFormat="1">
      <c r="A74" s="737" t="s">
        <v>1084</v>
      </c>
      <c r="B74" s="216">
        <f>SUM(C74+D74)</f>
        <v>0</v>
      </c>
      <c r="C74" s="217"/>
      <c r="D74" s="217"/>
      <c r="E74" s="217">
        <f t="shared" si="32"/>
        <v>0</v>
      </c>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304660</v>
      </c>
      <c r="C75" s="217">
        <v>304660</v>
      </c>
      <c r="D75" s="217"/>
      <c r="E75" s="217">
        <f t="shared" si="32"/>
        <v>304660</v>
      </c>
      <c r="F75" s="217"/>
      <c r="G75" s="217"/>
      <c r="H75" s="217"/>
      <c r="I75" s="217"/>
      <c r="J75" s="217"/>
      <c r="K75" s="217"/>
      <c r="L75" s="217"/>
      <c r="M75" s="217"/>
      <c r="N75" s="217"/>
      <c r="O75" s="217"/>
      <c r="P75" s="217"/>
      <c r="Q75" s="217"/>
      <c r="R75" s="878">
        <f>SUM(E75:Q75)</f>
        <v>304660</v>
      </c>
      <c r="S75" s="218"/>
      <c r="T75" s="218"/>
      <c r="U75" s="213"/>
    </row>
    <row r="76" spans="1:21" s="214" customFormat="1">
      <c r="A76" s="1856" t="s">
        <v>2638</v>
      </c>
      <c r="B76" s="216">
        <f>SUM(C76+D76)</f>
        <v>541109</v>
      </c>
      <c r="C76" s="217">
        <v>541109</v>
      </c>
      <c r="D76" s="217"/>
      <c r="E76" s="217">
        <f t="shared" si="32"/>
        <v>541109</v>
      </c>
      <c r="F76" s="217"/>
      <c r="G76" s="217"/>
      <c r="H76" s="217"/>
      <c r="I76" s="217"/>
      <c r="J76" s="217"/>
      <c r="K76" s="217"/>
      <c r="L76" s="217"/>
      <c r="M76" s="217"/>
      <c r="N76" s="217"/>
      <c r="O76" s="217"/>
      <c r="P76" s="217"/>
      <c r="Q76" s="217"/>
      <c r="R76" s="878">
        <f>SUM(E76:Q76)</f>
        <v>541109</v>
      </c>
      <c r="S76" s="218"/>
      <c r="T76" s="218"/>
      <c r="U76" s="213"/>
    </row>
    <row r="77" spans="1:21" s="214" customFormat="1">
      <c r="A77" s="219" t="s">
        <v>640</v>
      </c>
      <c r="B77" s="216">
        <f>SUM(C77:D77)</f>
        <v>845769</v>
      </c>
      <c r="C77" s="216">
        <f>SUM(C72:C76)</f>
        <v>845769</v>
      </c>
      <c r="D77" s="216">
        <f>SUM(D72:D76)</f>
        <v>0</v>
      </c>
      <c r="E77" s="216">
        <f t="shared" ref="E77:Q77" si="33">SUM(E72:E76)</f>
        <v>845769</v>
      </c>
      <c r="F77" s="216">
        <f t="shared" si="33"/>
        <v>0</v>
      </c>
      <c r="G77" s="216">
        <f t="shared" si="33"/>
        <v>0</v>
      </c>
      <c r="H77" s="216">
        <f t="shared" si="33"/>
        <v>0</v>
      </c>
      <c r="I77" s="216">
        <f t="shared" si="33"/>
        <v>0</v>
      </c>
      <c r="J77" s="216">
        <f t="shared" si="33"/>
        <v>0</v>
      </c>
      <c r="K77" s="216">
        <f t="shared" si="33"/>
        <v>0</v>
      </c>
      <c r="L77" s="216">
        <f t="shared" si="33"/>
        <v>0</v>
      </c>
      <c r="M77" s="216">
        <f t="shared" si="33"/>
        <v>0</v>
      </c>
      <c r="N77" s="216">
        <f t="shared" si="33"/>
        <v>0</v>
      </c>
      <c r="O77" s="216">
        <f t="shared" si="33"/>
        <v>0</v>
      </c>
      <c r="P77" s="216">
        <f t="shared" si="33"/>
        <v>0</v>
      </c>
      <c r="Q77" s="216">
        <f t="shared" si="33"/>
        <v>0</v>
      </c>
      <c r="R77" s="533">
        <f>SUM(R72:R76)</f>
        <v>845769</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1420</v>
      </c>
      <c r="B79" s="216">
        <f>SUM(C79:D79)</f>
        <v>2490485</v>
      </c>
      <c r="C79" s="217">
        <f>2490486-1</f>
        <v>2490485</v>
      </c>
      <c r="D79" s="217"/>
      <c r="E79" s="217">
        <f t="shared" ref="E79:E80" si="34">C79-SUM(F79:I79)</f>
        <v>2490485</v>
      </c>
      <c r="F79" s="217"/>
      <c r="G79" s="217"/>
      <c r="H79" s="217"/>
      <c r="I79" s="217"/>
      <c r="J79" s="217"/>
      <c r="K79" s="217"/>
      <c r="L79" s="217"/>
      <c r="M79" s="217"/>
      <c r="N79" s="217"/>
      <c r="O79" s="217"/>
      <c r="P79" s="217"/>
      <c r="Q79" s="217"/>
      <c r="R79" s="878">
        <f>SUM(E79:Q79)</f>
        <v>2490485</v>
      </c>
      <c r="S79" s="217">
        <f>B79</f>
        <v>2490485</v>
      </c>
      <c r="T79" s="217"/>
      <c r="U79" s="213"/>
    </row>
    <row r="80" spans="1:21" s="214" customFormat="1">
      <c r="A80" s="439" t="s">
        <v>61</v>
      </c>
      <c r="B80" s="216">
        <f>SUM(C80:D80)</f>
        <v>168253</v>
      </c>
      <c r="C80" s="217">
        <v>168253</v>
      </c>
      <c r="D80" s="217"/>
      <c r="E80" s="217">
        <f t="shared" si="34"/>
        <v>168253</v>
      </c>
      <c r="F80" s="217"/>
      <c r="G80" s="217"/>
      <c r="H80" s="217"/>
      <c r="I80" s="217"/>
      <c r="J80" s="217"/>
      <c r="K80" s="217"/>
      <c r="L80" s="217"/>
      <c r="M80" s="217"/>
      <c r="N80" s="217"/>
      <c r="O80" s="217"/>
      <c r="P80" s="217"/>
      <c r="Q80" s="217"/>
      <c r="R80" s="878">
        <f>SUM(E80:Q80)</f>
        <v>168253</v>
      </c>
      <c r="S80" s="217">
        <f>B80</f>
        <v>168253</v>
      </c>
      <c r="T80" s="217"/>
      <c r="U80" s="213"/>
    </row>
    <row r="81" spans="1:21" s="214" customFormat="1">
      <c r="A81" s="219" t="s">
        <v>1417</v>
      </c>
      <c r="B81" s="216">
        <f>SUM(C81:D81)</f>
        <v>2658738</v>
      </c>
      <c r="C81" s="858">
        <f>SUM(C79:C80)</f>
        <v>2658738</v>
      </c>
      <c r="D81" s="858">
        <f t="shared" ref="D81:T81" si="35">SUM(D79:D80)</f>
        <v>0</v>
      </c>
      <c r="E81" s="858">
        <f t="shared" si="35"/>
        <v>2658738</v>
      </c>
      <c r="F81" s="858">
        <f t="shared" si="35"/>
        <v>0</v>
      </c>
      <c r="G81" s="858">
        <f t="shared" si="35"/>
        <v>0</v>
      </c>
      <c r="H81" s="858">
        <f t="shared" si="35"/>
        <v>0</v>
      </c>
      <c r="I81" s="858">
        <f t="shared" si="35"/>
        <v>0</v>
      </c>
      <c r="J81" s="858">
        <f t="shared" si="35"/>
        <v>0</v>
      </c>
      <c r="K81" s="858">
        <f t="shared" si="35"/>
        <v>0</v>
      </c>
      <c r="L81" s="858">
        <f t="shared" si="35"/>
        <v>0</v>
      </c>
      <c r="M81" s="858">
        <f t="shared" si="35"/>
        <v>0</v>
      </c>
      <c r="N81" s="858">
        <f t="shared" si="35"/>
        <v>0</v>
      </c>
      <c r="O81" s="858">
        <f t="shared" si="35"/>
        <v>0</v>
      </c>
      <c r="P81" s="858">
        <f t="shared" si="35"/>
        <v>0</v>
      </c>
      <c r="Q81" s="858">
        <f t="shared" si="35"/>
        <v>0</v>
      </c>
      <c r="R81" s="858">
        <f t="shared" si="35"/>
        <v>2658738</v>
      </c>
      <c r="S81" s="858">
        <f t="shared" si="35"/>
        <v>2658738</v>
      </c>
      <c r="T81" s="858">
        <f t="shared" si="35"/>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823</v>
      </c>
      <c r="B83" s="216">
        <f t="shared" ref="B83:B95" si="36">SUM(C83+D83)</f>
        <v>56806</v>
      </c>
      <c r="C83" s="217">
        <v>56806</v>
      </c>
      <c r="D83" s="217"/>
      <c r="E83" s="217">
        <f t="shared" ref="E83:E95" si="37">C83-SUM(F83:I83)</f>
        <v>56806</v>
      </c>
      <c r="F83" s="217"/>
      <c r="G83" s="217"/>
      <c r="H83" s="217"/>
      <c r="I83" s="217"/>
      <c r="J83" s="217"/>
      <c r="K83" s="217"/>
      <c r="L83" s="217"/>
      <c r="M83" s="217"/>
      <c r="N83" s="217"/>
      <c r="O83" s="217"/>
      <c r="P83" s="217"/>
      <c r="Q83" s="217"/>
      <c r="R83" s="878">
        <f t="shared" ref="R83:R95" si="38">SUM(E83:Q83)</f>
        <v>56806</v>
      </c>
      <c r="S83" s="218"/>
      <c r="T83" s="218"/>
      <c r="U83" s="213"/>
    </row>
    <row r="84" spans="1:21" s="214" customFormat="1">
      <c r="A84" s="215" t="s">
        <v>824</v>
      </c>
      <c r="B84" s="216">
        <f t="shared" si="36"/>
        <v>5050</v>
      </c>
      <c r="C84" s="217">
        <v>5050</v>
      </c>
      <c r="D84" s="217"/>
      <c r="E84" s="217">
        <f t="shared" si="37"/>
        <v>5050</v>
      </c>
      <c r="F84" s="217"/>
      <c r="G84" s="217"/>
      <c r="H84" s="217"/>
      <c r="I84" s="217"/>
      <c r="J84" s="217"/>
      <c r="K84" s="217"/>
      <c r="L84" s="217"/>
      <c r="M84" s="217"/>
      <c r="N84" s="217"/>
      <c r="O84" s="217"/>
      <c r="P84" s="217"/>
      <c r="Q84" s="217"/>
      <c r="R84" s="878">
        <f t="shared" si="38"/>
        <v>5050</v>
      </c>
      <c r="S84" s="217">
        <f>B84</f>
        <v>5050</v>
      </c>
      <c r="T84" s="217"/>
      <c r="U84" s="213"/>
    </row>
    <row r="85" spans="1:21" s="214" customFormat="1">
      <c r="A85" s="215" t="s">
        <v>825</v>
      </c>
      <c r="B85" s="216">
        <f t="shared" si="36"/>
        <v>186868</v>
      </c>
      <c r="C85" s="217">
        <v>186868</v>
      </c>
      <c r="D85" s="217"/>
      <c r="E85" s="217">
        <f t="shared" si="37"/>
        <v>186868</v>
      </c>
      <c r="F85" s="217"/>
      <c r="G85" s="217"/>
      <c r="H85" s="217"/>
      <c r="I85" s="217"/>
      <c r="J85" s="217"/>
      <c r="K85" s="217"/>
      <c r="L85" s="217"/>
      <c r="M85" s="217"/>
      <c r="N85" s="217"/>
      <c r="O85" s="217"/>
      <c r="P85" s="217"/>
      <c r="Q85" s="217"/>
      <c r="R85" s="878">
        <f t="shared" si="38"/>
        <v>186868</v>
      </c>
      <c r="S85" s="217">
        <f>B85</f>
        <v>186868</v>
      </c>
      <c r="T85" s="217"/>
      <c r="U85" s="213"/>
    </row>
    <row r="86" spans="1:21" s="214" customFormat="1">
      <c r="A86" s="215" t="s">
        <v>826</v>
      </c>
      <c r="B86" s="216">
        <f t="shared" si="36"/>
        <v>250000</v>
      </c>
      <c r="C86" s="217">
        <v>250000</v>
      </c>
      <c r="D86" s="217"/>
      <c r="E86" s="217">
        <f t="shared" si="37"/>
        <v>250000</v>
      </c>
      <c r="F86" s="217"/>
      <c r="G86" s="217"/>
      <c r="H86" s="217"/>
      <c r="I86" s="217"/>
      <c r="J86" s="217"/>
      <c r="K86" s="217"/>
      <c r="L86" s="217"/>
      <c r="M86" s="217"/>
      <c r="N86" s="217"/>
      <c r="O86" s="217"/>
      <c r="P86" s="217"/>
      <c r="Q86" s="217"/>
      <c r="R86" s="878">
        <f t="shared" si="38"/>
        <v>250000</v>
      </c>
      <c r="S86" s="217">
        <f>B86</f>
        <v>250000</v>
      </c>
      <c r="T86" s="217"/>
      <c r="U86" s="213"/>
    </row>
    <row r="87" spans="1:21" s="214" customFormat="1">
      <c r="A87" s="215" t="s">
        <v>827</v>
      </c>
      <c r="B87" s="216">
        <f t="shared" si="36"/>
        <v>0</v>
      </c>
      <c r="C87" s="217"/>
      <c r="D87" s="217"/>
      <c r="E87" s="217">
        <f t="shared" si="37"/>
        <v>0</v>
      </c>
      <c r="F87" s="217"/>
      <c r="G87" s="217"/>
      <c r="H87" s="217"/>
      <c r="I87" s="217"/>
      <c r="J87" s="217"/>
      <c r="K87" s="217"/>
      <c r="L87" s="217"/>
      <c r="M87" s="217"/>
      <c r="N87" s="217"/>
      <c r="O87" s="217"/>
      <c r="P87" s="217"/>
      <c r="Q87" s="217"/>
      <c r="R87" s="878">
        <f t="shared" si="38"/>
        <v>0</v>
      </c>
      <c r="S87" s="217"/>
      <c r="T87" s="217"/>
      <c r="U87" s="213"/>
    </row>
    <row r="88" spans="1:21" s="214" customFormat="1">
      <c r="A88" s="215" t="s">
        <v>828</v>
      </c>
      <c r="B88" s="216">
        <f t="shared" si="36"/>
        <v>92418</v>
      </c>
      <c r="C88" s="217">
        <f>10000+82418</f>
        <v>92418</v>
      </c>
      <c r="D88" s="217"/>
      <c r="E88" s="217">
        <f t="shared" si="37"/>
        <v>92418</v>
      </c>
      <c r="F88" s="217"/>
      <c r="G88" s="217"/>
      <c r="H88" s="217"/>
      <c r="I88" s="217"/>
      <c r="J88" s="217"/>
      <c r="K88" s="217"/>
      <c r="L88" s="217"/>
      <c r="M88" s="217"/>
      <c r="N88" s="217"/>
      <c r="O88" s="217"/>
      <c r="P88" s="217"/>
      <c r="Q88" s="217"/>
      <c r="R88" s="878">
        <f t="shared" si="38"/>
        <v>92418</v>
      </c>
      <c r="S88" s="218"/>
      <c r="T88" s="218"/>
      <c r="U88" s="213"/>
    </row>
    <row r="89" spans="1:21" s="214" customFormat="1">
      <c r="A89" s="215" t="s">
        <v>829</v>
      </c>
      <c r="B89" s="216">
        <f t="shared" si="36"/>
        <v>272500</v>
      </c>
      <c r="C89" s="217">
        <v>272500</v>
      </c>
      <c r="D89" s="217"/>
      <c r="E89" s="217">
        <f t="shared" si="37"/>
        <v>272500</v>
      </c>
      <c r="F89" s="217"/>
      <c r="G89" s="217"/>
      <c r="H89" s="217"/>
      <c r="I89" s="217"/>
      <c r="J89" s="217"/>
      <c r="K89" s="217"/>
      <c r="L89" s="217"/>
      <c r="M89" s="217"/>
      <c r="N89" s="217"/>
      <c r="O89" s="217"/>
      <c r="P89" s="217"/>
      <c r="Q89" s="217"/>
      <c r="R89" s="878">
        <f t="shared" si="38"/>
        <v>272500</v>
      </c>
      <c r="S89" s="217">
        <f>B89</f>
        <v>272500</v>
      </c>
      <c r="T89" s="217"/>
      <c r="U89" s="213"/>
    </row>
    <row r="90" spans="1:21" s="214" customFormat="1">
      <c r="A90" s="215" t="s">
        <v>830</v>
      </c>
      <c r="B90" s="216">
        <f t="shared" si="36"/>
        <v>9000</v>
      </c>
      <c r="C90" s="217">
        <v>9000</v>
      </c>
      <c r="D90" s="217"/>
      <c r="E90" s="217">
        <f t="shared" si="37"/>
        <v>9000</v>
      </c>
      <c r="F90" s="217"/>
      <c r="G90" s="217"/>
      <c r="H90" s="217"/>
      <c r="I90" s="217"/>
      <c r="J90" s="217"/>
      <c r="K90" s="217"/>
      <c r="L90" s="217"/>
      <c r="M90" s="217"/>
      <c r="N90" s="217"/>
      <c r="O90" s="217"/>
      <c r="P90" s="217"/>
      <c r="Q90" s="217"/>
      <c r="R90" s="878">
        <f t="shared" si="38"/>
        <v>9000</v>
      </c>
      <c r="S90" s="217">
        <v>0</v>
      </c>
      <c r="T90" s="217"/>
      <c r="U90" s="213"/>
    </row>
    <row r="91" spans="1:21" s="214" customFormat="1">
      <c r="A91" s="1809" t="s">
        <v>389</v>
      </c>
      <c r="B91" s="216">
        <f t="shared" si="36"/>
        <v>17400</v>
      </c>
      <c r="C91" s="217">
        <f>17400</f>
        <v>17400</v>
      </c>
      <c r="D91" s="217"/>
      <c r="E91" s="217">
        <f t="shared" si="37"/>
        <v>17400</v>
      </c>
      <c r="F91" s="217"/>
      <c r="G91" s="217"/>
      <c r="H91" s="217"/>
      <c r="I91" s="217"/>
      <c r="J91" s="217"/>
      <c r="K91" s="217"/>
      <c r="L91" s="217"/>
      <c r="M91" s="217"/>
      <c r="N91" s="217"/>
      <c r="O91" s="217"/>
      <c r="P91" s="217"/>
      <c r="Q91" s="217"/>
      <c r="R91" s="878">
        <f t="shared" si="38"/>
        <v>17400</v>
      </c>
      <c r="S91" s="217">
        <f>B91</f>
        <v>17400</v>
      </c>
      <c r="T91" s="217"/>
      <c r="U91" s="213"/>
    </row>
    <row r="92" spans="1:21" s="214" customFormat="1">
      <c r="A92" s="1808" t="s">
        <v>1419</v>
      </c>
      <c r="B92" s="216">
        <f t="shared" si="36"/>
        <v>4200</v>
      </c>
      <c r="C92" s="217">
        <v>4200</v>
      </c>
      <c r="D92" s="217"/>
      <c r="E92" s="217">
        <f t="shared" si="37"/>
        <v>4200</v>
      </c>
      <c r="F92" s="217"/>
      <c r="G92" s="217"/>
      <c r="H92" s="217"/>
      <c r="I92" s="217"/>
      <c r="J92" s="217"/>
      <c r="K92" s="217"/>
      <c r="L92" s="217"/>
      <c r="M92" s="217"/>
      <c r="N92" s="217"/>
      <c r="O92" s="217"/>
      <c r="P92" s="217"/>
      <c r="Q92" s="217"/>
      <c r="R92" s="878">
        <f t="shared" si="38"/>
        <v>4200</v>
      </c>
      <c r="S92" s="217">
        <f>B92</f>
        <v>4200</v>
      </c>
      <c r="T92" s="217"/>
      <c r="U92" s="213"/>
    </row>
    <row r="93" spans="1:21" s="214" customFormat="1">
      <c r="A93" s="1856" t="s">
        <v>2654</v>
      </c>
      <c r="B93" s="216">
        <f t="shared" si="36"/>
        <v>260331</v>
      </c>
      <c r="C93" s="1701">
        <v>260331</v>
      </c>
      <c r="D93" s="217"/>
      <c r="E93" s="217">
        <f t="shared" si="37"/>
        <v>260331</v>
      </c>
      <c r="F93" s="217"/>
      <c r="G93" s="217"/>
      <c r="H93" s="217"/>
      <c r="I93" s="217"/>
      <c r="J93" s="217"/>
      <c r="K93" s="217"/>
      <c r="L93" s="217"/>
      <c r="M93" s="217"/>
      <c r="N93" s="217"/>
      <c r="O93" s="217"/>
      <c r="P93" s="217"/>
      <c r="Q93" s="217"/>
      <c r="R93" s="878">
        <f t="shared" si="38"/>
        <v>260331</v>
      </c>
      <c r="S93" s="217"/>
      <c r="T93" s="217"/>
      <c r="U93" s="213"/>
    </row>
    <row r="94" spans="1:21" s="214" customFormat="1">
      <c r="A94" s="1856" t="s">
        <v>2651</v>
      </c>
      <c r="B94" s="216">
        <f t="shared" si="36"/>
        <v>347500</v>
      </c>
      <c r="C94" s="217">
        <f>147500+200000</f>
        <v>347500</v>
      </c>
      <c r="D94" s="217"/>
      <c r="E94" s="217">
        <f t="shared" si="37"/>
        <v>347500</v>
      </c>
      <c r="F94" s="217"/>
      <c r="G94" s="217"/>
      <c r="H94" s="217"/>
      <c r="I94" s="217"/>
      <c r="J94" s="217"/>
      <c r="K94" s="217"/>
      <c r="L94" s="217"/>
      <c r="M94" s="217"/>
      <c r="N94" s="217"/>
      <c r="O94" s="217"/>
      <c r="P94" s="217"/>
      <c r="Q94" s="217"/>
      <c r="R94" s="878">
        <f t="shared" si="38"/>
        <v>347500</v>
      </c>
      <c r="S94" s="217">
        <f>B94</f>
        <v>347500</v>
      </c>
      <c r="T94" s="217"/>
      <c r="U94" s="213"/>
    </row>
    <row r="95" spans="1:21" s="214" customFormat="1" ht="23">
      <c r="A95" s="1856" t="s">
        <v>2636</v>
      </c>
      <c r="B95" s="216">
        <f t="shared" si="36"/>
        <v>543775</v>
      </c>
      <c r="C95" s="217">
        <f>43775+500000</f>
        <v>543775</v>
      </c>
      <c r="D95" s="217"/>
      <c r="E95" s="217">
        <f t="shared" si="37"/>
        <v>543775</v>
      </c>
      <c r="F95" s="217"/>
      <c r="G95" s="217"/>
      <c r="H95" s="217"/>
      <c r="I95" s="217"/>
      <c r="J95" s="217"/>
      <c r="K95" s="217"/>
      <c r="L95" s="217"/>
      <c r="M95" s="217"/>
      <c r="N95" s="217"/>
      <c r="O95" s="217"/>
      <c r="P95" s="217"/>
      <c r="Q95" s="217"/>
      <c r="R95" s="878">
        <f t="shared" si="38"/>
        <v>543775</v>
      </c>
      <c r="S95" s="217">
        <f>B95</f>
        <v>543775</v>
      </c>
      <c r="T95" s="217"/>
      <c r="U95" s="213"/>
    </row>
    <row r="96" spans="1:21" s="214" customFormat="1">
      <c r="A96" s="219" t="s">
        <v>831</v>
      </c>
      <c r="B96" s="216">
        <f>SUM(C96:D96)</f>
        <v>2045848</v>
      </c>
      <c r="C96" s="216">
        <f t="shared" ref="C96:R96" si="39">SUM(C83:C95)</f>
        <v>2045848</v>
      </c>
      <c r="D96" s="216">
        <f t="shared" si="39"/>
        <v>0</v>
      </c>
      <c r="E96" s="216">
        <f t="shared" si="39"/>
        <v>2045848</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3">
        <f t="shared" si="39"/>
        <v>2045848</v>
      </c>
      <c r="S96" s="220">
        <f>SUM(S84:S87,S89:S95)</f>
        <v>1627293</v>
      </c>
      <c r="T96" s="216">
        <f>SUM(T84:T87,T89:T95)</f>
        <v>0</v>
      </c>
      <c r="U96" s="213"/>
    </row>
    <row r="97" spans="1:21" s="214" customFormat="1">
      <c r="A97" s="219" t="s">
        <v>832</v>
      </c>
      <c r="B97" s="216">
        <f>SUM(C97:D97)</f>
        <v>39950151</v>
      </c>
      <c r="C97" s="216">
        <f t="shared" ref="C97:R97" si="40">SUM(C63+C70+C77+C81+C96)</f>
        <v>39950151</v>
      </c>
      <c r="D97" s="216">
        <f t="shared" si="40"/>
        <v>0</v>
      </c>
      <c r="E97" s="216">
        <f t="shared" si="40"/>
        <v>19053672</v>
      </c>
      <c r="F97" s="216">
        <f t="shared" si="40"/>
        <v>6190000</v>
      </c>
      <c r="G97" s="216">
        <f t="shared" si="40"/>
        <v>8555556</v>
      </c>
      <c r="H97" s="216">
        <f t="shared" si="40"/>
        <v>130923</v>
      </c>
      <c r="I97" s="216">
        <f t="shared" si="40"/>
        <v>6020000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39950151</v>
      </c>
      <c r="S97" s="216">
        <f>SUM(S63+S70+S81+S96)</f>
        <v>32301742</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4845261</v>
      </c>
      <c r="C99" s="1701">
        <v>4845261</v>
      </c>
      <c r="D99" s="1701"/>
      <c r="E99" s="217">
        <f>C99-SUM(F99:J99)</f>
        <v>2500000</v>
      </c>
      <c r="F99" s="217"/>
      <c r="G99" s="217"/>
      <c r="H99" s="217"/>
      <c r="I99" s="217"/>
      <c r="J99" s="217">
        <f>Application!AO641</f>
        <v>2345261</v>
      </c>
      <c r="K99" s="217"/>
      <c r="L99" s="217"/>
      <c r="M99" s="217"/>
      <c r="N99" s="217"/>
      <c r="O99" s="217"/>
      <c r="P99" s="217"/>
      <c r="Q99" s="217"/>
      <c r="R99" s="878">
        <f t="shared" ref="R99:R103" si="41">SUM(E99:Q99)</f>
        <v>4845261</v>
      </c>
      <c r="S99" s="217">
        <f>B99</f>
        <v>4845261</v>
      </c>
      <c r="T99" s="217"/>
      <c r="U99" s="213"/>
    </row>
    <row r="100" spans="1:21" s="214" customFormat="1">
      <c r="A100" s="439" t="s">
        <v>1997</v>
      </c>
      <c r="B100" s="216">
        <f t="shared" ref="B100:B103" si="42">SUM(C100+D100)</f>
        <v>0</v>
      </c>
      <c r="C100" s="217"/>
      <c r="D100" s="217"/>
      <c r="E100" s="217"/>
      <c r="F100" s="217"/>
      <c r="G100" s="217"/>
      <c r="H100" s="217"/>
      <c r="I100" s="217"/>
      <c r="J100" s="217"/>
      <c r="K100" s="217"/>
      <c r="L100" s="217"/>
      <c r="M100" s="217"/>
      <c r="N100" s="217"/>
      <c r="O100" s="217"/>
      <c r="P100" s="217"/>
      <c r="Q100" s="217"/>
      <c r="R100" s="878">
        <f t="shared" si="41"/>
        <v>0</v>
      </c>
      <c r="S100" s="217"/>
      <c r="T100" s="217"/>
      <c r="U100" s="213"/>
    </row>
    <row r="101" spans="1:21" s="214" customFormat="1" ht="12" customHeight="1">
      <c r="A101" s="215" t="s">
        <v>835</v>
      </c>
      <c r="B101" s="216">
        <f t="shared" si="42"/>
        <v>0</v>
      </c>
      <c r="C101" s="217"/>
      <c r="D101" s="217"/>
      <c r="E101" s="217"/>
      <c r="F101" s="217"/>
      <c r="G101" s="217"/>
      <c r="H101" s="217"/>
      <c r="I101" s="217"/>
      <c r="J101" s="217"/>
      <c r="K101" s="217"/>
      <c r="L101" s="217"/>
      <c r="M101" s="217"/>
      <c r="N101" s="217"/>
      <c r="O101" s="217"/>
      <c r="P101" s="217"/>
      <c r="Q101" s="217"/>
      <c r="R101" s="878">
        <f t="shared" si="41"/>
        <v>0</v>
      </c>
      <c r="S101" s="217"/>
      <c r="T101" s="217"/>
      <c r="U101" s="213"/>
    </row>
    <row r="102" spans="1:21" s="214" customFormat="1">
      <c r="A102" s="439" t="s">
        <v>1998</v>
      </c>
      <c r="B102" s="216">
        <f t="shared" si="42"/>
        <v>0</v>
      </c>
      <c r="C102" s="217"/>
      <c r="D102" s="217"/>
      <c r="E102" s="217"/>
      <c r="F102" s="217"/>
      <c r="G102" s="217"/>
      <c r="H102" s="217"/>
      <c r="I102" s="217"/>
      <c r="J102" s="217"/>
      <c r="K102" s="217"/>
      <c r="L102" s="217"/>
      <c r="M102" s="217"/>
      <c r="N102" s="217"/>
      <c r="O102" s="217"/>
      <c r="P102" s="217"/>
      <c r="Q102" s="217"/>
      <c r="R102" s="878">
        <f t="shared" si="41"/>
        <v>0</v>
      </c>
      <c r="S102" s="217"/>
      <c r="T102" s="217"/>
      <c r="U102" s="213"/>
    </row>
    <row r="103" spans="1:21" s="214" customFormat="1">
      <c r="A103" s="222" t="s">
        <v>35</v>
      </c>
      <c r="B103" s="216">
        <f t="shared" si="42"/>
        <v>0</v>
      </c>
      <c r="C103" s="217"/>
      <c r="D103" s="217"/>
      <c r="E103" s="217"/>
      <c r="F103" s="217"/>
      <c r="G103" s="217"/>
      <c r="H103" s="217"/>
      <c r="I103" s="217"/>
      <c r="J103" s="217"/>
      <c r="K103" s="217"/>
      <c r="L103" s="217"/>
      <c r="M103" s="217"/>
      <c r="N103" s="217"/>
      <c r="O103" s="217"/>
      <c r="P103" s="217"/>
      <c r="Q103" s="217"/>
      <c r="R103" s="878">
        <f t="shared" si="41"/>
        <v>0</v>
      </c>
      <c r="S103" s="217"/>
      <c r="T103" s="217"/>
      <c r="U103" s="213"/>
    </row>
    <row r="104" spans="1:21" s="214" customFormat="1">
      <c r="A104" s="219" t="s">
        <v>836</v>
      </c>
      <c r="B104" s="216">
        <f>SUM(C104:D104)</f>
        <v>4845261</v>
      </c>
      <c r="C104" s="216">
        <f>SUM(C99:C103)</f>
        <v>4845261</v>
      </c>
      <c r="D104" s="216">
        <f t="shared" ref="D104:T104" si="43">SUM(D99:D103)</f>
        <v>0</v>
      </c>
      <c r="E104" s="216">
        <f t="shared" si="43"/>
        <v>2500000</v>
      </c>
      <c r="F104" s="216">
        <f t="shared" si="43"/>
        <v>0</v>
      </c>
      <c r="G104" s="216">
        <f t="shared" si="43"/>
        <v>0</v>
      </c>
      <c r="H104" s="216">
        <f t="shared" si="43"/>
        <v>0</v>
      </c>
      <c r="I104" s="216">
        <f t="shared" si="43"/>
        <v>0</v>
      </c>
      <c r="J104" s="216">
        <f t="shared" si="43"/>
        <v>2345261</v>
      </c>
      <c r="K104" s="216">
        <f t="shared" si="43"/>
        <v>0</v>
      </c>
      <c r="L104" s="216">
        <f t="shared" si="43"/>
        <v>0</v>
      </c>
      <c r="M104" s="216">
        <f t="shared" si="43"/>
        <v>0</v>
      </c>
      <c r="N104" s="216">
        <f t="shared" si="43"/>
        <v>0</v>
      </c>
      <c r="O104" s="216">
        <f t="shared" si="43"/>
        <v>0</v>
      </c>
      <c r="P104" s="216">
        <f t="shared" si="43"/>
        <v>0</v>
      </c>
      <c r="Q104" s="216">
        <f t="shared" si="43"/>
        <v>0</v>
      </c>
      <c r="R104" s="533">
        <f t="shared" si="43"/>
        <v>4845261</v>
      </c>
      <c r="S104" s="220">
        <f t="shared" si="43"/>
        <v>4845261</v>
      </c>
      <c r="T104" s="220">
        <f t="shared" si="43"/>
        <v>0</v>
      </c>
      <c r="U104" s="213"/>
    </row>
    <row r="105" spans="1:21" s="214" customFormat="1">
      <c r="A105" s="219" t="s">
        <v>837</v>
      </c>
      <c r="B105" s="220">
        <f>SUM(C105:D105)</f>
        <v>44795412</v>
      </c>
      <c r="C105" s="220">
        <f t="shared" ref="C105:R105" si="44">SUM(C97+C104)</f>
        <v>44795412</v>
      </c>
      <c r="D105" s="220">
        <f t="shared" si="44"/>
        <v>0</v>
      </c>
      <c r="E105" s="220">
        <f t="shared" si="44"/>
        <v>21553672</v>
      </c>
      <c r="F105" s="220">
        <f t="shared" si="44"/>
        <v>6190000</v>
      </c>
      <c r="G105" s="220">
        <f t="shared" si="44"/>
        <v>8555556</v>
      </c>
      <c r="H105" s="220">
        <f t="shared" si="44"/>
        <v>130923</v>
      </c>
      <c r="I105" s="220">
        <f t="shared" si="44"/>
        <v>6020000</v>
      </c>
      <c r="J105" s="220">
        <f t="shared" si="44"/>
        <v>2345261</v>
      </c>
      <c r="K105" s="220">
        <f t="shared" si="44"/>
        <v>0</v>
      </c>
      <c r="L105" s="220">
        <f t="shared" si="44"/>
        <v>0</v>
      </c>
      <c r="M105" s="220">
        <f t="shared" si="44"/>
        <v>0</v>
      </c>
      <c r="N105" s="220">
        <f t="shared" si="44"/>
        <v>0</v>
      </c>
      <c r="O105" s="220">
        <f t="shared" si="44"/>
        <v>0</v>
      </c>
      <c r="P105" s="220">
        <f t="shared" si="44"/>
        <v>0</v>
      </c>
      <c r="Q105" s="220">
        <f t="shared" si="44"/>
        <v>0</v>
      </c>
      <c r="R105" s="533">
        <f t="shared" si="44"/>
        <v>44795412</v>
      </c>
      <c r="S105" s="220">
        <f>S97+S104</f>
        <v>37147003</v>
      </c>
      <c r="T105" s="220">
        <f>T97+T104</f>
        <v>0</v>
      </c>
      <c r="U105" s="213"/>
    </row>
    <row r="106" spans="1:21">
      <c r="A106" s="865"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37147003</v>
      </c>
      <c r="T107" s="234">
        <f>T105+T106</f>
        <v>0</v>
      </c>
    </row>
    <row r="108" spans="1:21" s="300" customFormat="1">
      <c r="A108" s="233" t="s">
        <v>943</v>
      </c>
      <c r="B108" s="228"/>
      <c r="C108" s="228"/>
      <c r="D108" s="228"/>
      <c r="E108" s="463">
        <f>Application!AO650</f>
        <v>21553672</v>
      </c>
      <c r="F108" s="463">
        <f>Application!AO637</f>
        <v>6190000</v>
      </c>
      <c r="G108" s="463">
        <f>Application!AO638</f>
        <v>8555556</v>
      </c>
      <c r="H108" s="463">
        <f>Application!AO639</f>
        <v>130923</v>
      </c>
      <c r="I108" s="463">
        <f>Application!AO640</f>
        <v>6020000</v>
      </c>
      <c r="J108" s="463">
        <f>Application!AO641</f>
        <v>2345261</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1125</v>
      </c>
      <c r="B113" s="228"/>
      <c r="C113" s="228"/>
      <c r="D113" s="228"/>
    </row>
    <row r="114" spans="1:21">
      <c r="A114" s="227" t="s">
        <v>1126</v>
      </c>
      <c r="B114" s="228"/>
      <c r="C114" s="228"/>
      <c r="D114" s="228"/>
    </row>
    <row r="115" spans="1:21" ht="12" customHeight="1">
      <c r="A115" s="484"/>
      <c r="B115" s="228"/>
      <c r="C115" s="228"/>
      <c r="D115" s="228"/>
    </row>
    <row r="116" spans="1:21">
      <c r="A116" s="536" t="s">
        <v>1133</v>
      </c>
      <c r="B116" s="228"/>
      <c r="C116" s="228"/>
      <c r="D116" s="228"/>
    </row>
    <row r="117" spans="1:21">
      <c r="A117" s="536" t="s">
        <v>1436</v>
      </c>
      <c r="B117" s="228"/>
      <c r="C117" s="228"/>
      <c r="D117" s="228"/>
    </row>
    <row r="118" spans="1:21">
      <c r="A118" s="536" t="s">
        <v>1132</v>
      </c>
      <c r="B118" s="228"/>
      <c r="C118" s="228"/>
      <c r="D118" s="228"/>
    </row>
    <row r="119" spans="1:21">
      <c r="A119" s="536" t="s">
        <v>1134</v>
      </c>
      <c r="B119" s="228"/>
      <c r="C119" s="228"/>
      <c r="D119" s="228"/>
    </row>
    <row r="120" spans="1:21" ht="12" customHeight="1">
      <c r="A120" s="535"/>
      <c r="B120" s="228"/>
      <c r="C120" s="228"/>
      <c r="D120" s="228"/>
    </row>
    <row r="121" spans="1:21" ht="15.5">
      <c r="A121" s="529" t="s">
        <v>1109</v>
      </c>
      <c r="B121" s="228"/>
      <c r="C121" s="228"/>
      <c r="D121" s="228"/>
    </row>
    <row r="122" spans="1:21">
      <c r="A122" s="514" t="s">
        <v>1093</v>
      </c>
      <c r="B122" s="513"/>
      <c r="C122" s="513"/>
      <c r="D122" s="2587" t="s">
        <v>1094</v>
      </c>
      <c r="E122" s="2587"/>
      <c r="F122" s="2587"/>
      <c r="G122" s="513"/>
      <c r="H122" s="513"/>
      <c r="I122" s="513"/>
      <c r="J122" s="513"/>
      <c r="K122" s="513"/>
      <c r="L122" s="513"/>
      <c r="M122" s="513"/>
      <c r="N122" s="513"/>
      <c r="O122" s="513"/>
      <c r="P122" s="513"/>
      <c r="Q122" s="513"/>
      <c r="R122" s="513"/>
      <c r="S122" s="513"/>
      <c r="T122" s="513"/>
      <c r="U122" s="515"/>
    </row>
    <row r="123" spans="1:21">
      <c r="A123" s="513" t="s">
        <v>1095</v>
      </c>
      <c r="B123" s="522">
        <v>4800</v>
      </c>
      <c r="C123" s="513"/>
      <c r="D123" s="2577" t="s">
        <v>1437</v>
      </c>
      <c r="E123" s="2578"/>
      <c r="F123" s="2578"/>
      <c r="G123" s="2578"/>
      <c r="H123" s="2578"/>
      <c r="I123" s="2578"/>
      <c r="J123" s="2578"/>
      <c r="K123" s="2578"/>
      <c r="L123" s="2578"/>
      <c r="M123" s="2578"/>
      <c r="N123" s="2578"/>
      <c r="O123" s="2578"/>
      <c r="P123" s="2578"/>
      <c r="Q123" s="2578"/>
      <c r="R123" s="2578"/>
      <c r="S123" s="2578"/>
      <c r="T123" s="513"/>
      <c r="U123" s="515"/>
    </row>
    <row r="124" spans="1:21" ht="12.5">
      <c r="A124" s="512" t="s">
        <v>1096</v>
      </c>
      <c r="B124" s="522"/>
      <c r="C124" s="512"/>
      <c r="D124" s="2578"/>
      <c r="E124" s="2578"/>
      <c r="F124" s="2578"/>
      <c r="G124" s="2578"/>
      <c r="H124" s="2578"/>
      <c r="I124" s="2578"/>
      <c r="J124" s="2578"/>
      <c r="K124" s="2578"/>
      <c r="L124" s="2578"/>
      <c r="M124" s="2578"/>
      <c r="N124" s="2578"/>
      <c r="O124" s="2578"/>
      <c r="P124" s="2578"/>
      <c r="Q124" s="2578"/>
      <c r="R124" s="2578"/>
      <c r="S124" s="2578"/>
      <c r="T124" s="513"/>
      <c r="U124" s="515"/>
    </row>
    <row r="125" spans="1:21" ht="12.5">
      <c r="A125" s="512" t="s">
        <v>1097</v>
      </c>
      <c r="B125" s="522">
        <v>60000</v>
      </c>
      <c r="C125" s="512"/>
      <c r="D125" s="2578"/>
      <c r="E125" s="2578"/>
      <c r="F125" s="2578"/>
      <c r="G125" s="2578"/>
      <c r="H125" s="2578"/>
      <c r="I125" s="2578"/>
      <c r="J125" s="2578"/>
      <c r="K125" s="2578"/>
      <c r="L125" s="2578"/>
      <c r="M125" s="2578"/>
      <c r="N125" s="2578"/>
      <c r="O125" s="2578"/>
      <c r="P125" s="2578"/>
      <c r="Q125" s="2578"/>
      <c r="R125" s="2578"/>
      <c r="S125" s="2578"/>
      <c r="T125" s="513"/>
      <c r="U125" s="515"/>
    </row>
    <row r="126" spans="1:21" ht="12.5">
      <c r="A126" s="512" t="s">
        <v>1098</v>
      </c>
      <c r="B126" s="522">
        <v>85500</v>
      </c>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1099</v>
      </c>
      <c r="B127" s="522">
        <v>15000</v>
      </c>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1100</v>
      </c>
      <c r="B128" s="522"/>
      <c r="C128" s="512"/>
      <c r="D128" s="2585"/>
      <c r="E128" s="2585"/>
      <c r="F128" s="2585"/>
      <c r="G128" s="2585"/>
      <c r="H128" s="2585"/>
      <c r="I128" s="512"/>
      <c r="J128" s="2576"/>
      <c r="K128" s="2576"/>
      <c r="L128" s="512"/>
      <c r="M128" s="512"/>
      <c r="N128" s="512"/>
      <c r="O128" s="512"/>
      <c r="P128" s="512"/>
      <c r="Q128" s="512"/>
      <c r="R128" s="512"/>
      <c r="S128" s="512"/>
      <c r="T128" s="513"/>
      <c r="U128" s="515"/>
    </row>
    <row r="129" spans="1:21" ht="12.5">
      <c r="A129" s="512" t="s">
        <v>307</v>
      </c>
      <c r="B129" s="522"/>
      <c r="C129" s="512"/>
      <c r="D129" s="2586" t="s">
        <v>1101</v>
      </c>
      <c r="E129" s="2586"/>
      <c r="F129" s="2586"/>
      <c r="G129" s="2586"/>
      <c r="H129" s="2586"/>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1103</v>
      </c>
      <c r="B131" s="523">
        <f>SUM(B123:B129)</f>
        <v>165300</v>
      </c>
      <c r="C131" s="512"/>
      <c r="D131" s="2067"/>
      <c r="E131" s="2067"/>
      <c r="F131" s="2067"/>
      <c r="G131" s="2067"/>
      <c r="H131" s="2067"/>
      <c r="I131" s="512"/>
      <c r="J131" s="2067"/>
      <c r="K131" s="2067"/>
      <c r="L131" s="2067"/>
      <c r="M131" s="2067"/>
      <c r="N131" s="512"/>
      <c r="O131" s="512"/>
      <c r="P131" s="512"/>
      <c r="Q131" s="512"/>
      <c r="R131" s="512"/>
      <c r="S131" s="512"/>
      <c r="T131" s="513"/>
      <c r="U131" s="515"/>
    </row>
    <row r="132" spans="1:21" ht="12" customHeight="1">
      <c r="A132" s="526"/>
      <c r="B132" s="512"/>
      <c r="C132" s="512"/>
      <c r="D132" s="2579" t="s">
        <v>1104</v>
      </c>
      <c r="E132" s="2579"/>
      <c r="F132" s="2579"/>
      <c r="G132" s="2579"/>
      <c r="H132" s="2579"/>
      <c r="I132" s="512"/>
      <c r="J132" s="2579" t="s">
        <v>1105</v>
      </c>
      <c r="K132" s="2579"/>
      <c r="L132" s="2579"/>
      <c r="M132" s="2579"/>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0"/>
      <c r="B138" s="2581"/>
      <c r="C138" s="2581"/>
      <c r="D138" s="517"/>
      <c r="E138" s="2576"/>
      <c r="F138" s="2576"/>
      <c r="G138" s="512"/>
      <c r="H138" s="512"/>
      <c r="I138" s="512"/>
      <c r="J138" s="512"/>
      <c r="K138" s="512"/>
      <c r="L138" s="512"/>
      <c r="M138" s="512"/>
      <c r="N138" s="512"/>
      <c r="O138" s="512"/>
      <c r="P138" s="512"/>
      <c r="Q138" s="512"/>
      <c r="R138" s="512"/>
      <c r="S138" s="512"/>
      <c r="T138" s="519"/>
      <c r="U138" s="520"/>
    </row>
    <row r="139" spans="1:21" ht="13">
      <c r="A139" s="2574" t="s">
        <v>1108</v>
      </c>
      <c r="B139" s="2575"/>
      <c r="C139" s="2575"/>
      <c r="D139" s="517"/>
      <c r="E139" s="512" t="s">
        <v>1102</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52" stopIfTrue="1">
      <formula>T9&gt;C9</formula>
    </cfRule>
  </conditionalFormatting>
  <conditionalFormatting sqref="S10">
    <cfRule type="expression" dxfId="148" priority="251" stopIfTrue="1">
      <formula>(S10+T10)&gt;C10</formula>
    </cfRule>
  </conditionalFormatting>
  <conditionalFormatting sqref="R8">
    <cfRule type="cellIs" dxfId="147" priority="240" stopIfTrue="1" operator="notEqual">
      <formula>$B8</formula>
    </cfRule>
    <cfRule type="cellIs" priority="243" stopIfTrue="1" operator="notEqual">
      <formula>$B8</formula>
    </cfRule>
  </conditionalFormatting>
  <conditionalFormatting sqref="R4:R7 R56:R61 R45:R53 R83:R95 R99:R103">
    <cfRule type="cellIs" dxfId="146" priority="242" stopIfTrue="1" operator="notEqual">
      <formula>$B4</formula>
    </cfRule>
  </conditionalFormatting>
  <conditionalFormatting sqref="R9:R10">
    <cfRule type="cellIs" dxfId="145" priority="241" stopIfTrue="1" operator="notEqual">
      <formula>$B9</formula>
    </cfRule>
  </conditionalFormatting>
  <conditionalFormatting sqref="R11:R12">
    <cfRule type="cellIs" dxfId="144" priority="238" stopIfTrue="1" operator="notEqual">
      <formula>$B11</formula>
    </cfRule>
    <cfRule type="cellIs" priority="239" stopIfTrue="1" operator="notEqual">
      <formula>$B11</formula>
    </cfRule>
  </conditionalFormatting>
  <conditionalFormatting sqref="R13:R15">
    <cfRule type="cellIs" dxfId="143" priority="237" stopIfTrue="1" operator="notEqual">
      <formula>$B13</formula>
    </cfRule>
  </conditionalFormatting>
  <conditionalFormatting sqref="R26">
    <cfRule type="cellIs" dxfId="142" priority="235" stopIfTrue="1" operator="notEqual">
      <formula>$B26</formula>
    </cfRule>
    <cfRule type="cellIs" priority="236" stopIfTrue="1" operator="notEqual">
      <formula>$B26</formula>
    </cfRule>
  </conditionalFormatting>
  <conditionalFormatting sqref="R17:R25">
    <cfRule type="cellIs" dxfId="141" priority="234" stopIfTrue="1" operator="notEqual">
      <formula>$B17</formula>
    </cfRule>
  </conditionalFormatting>
  <conditionalFormatting sqref="R27">
    <cfRule type="cellIs" dxfId="140" priority="233" stopIfTrue="1" operator="notEqual">
      <formula>$B27</formula>
    </cfRule>
  </conditionalFormatting>
  <conditionalFormatting sqref="R38">
    <cfRule type="cellIs" dxfId="139" priority="231" stopIfTrue="1" operator="notEqual">
      <formula>$B38</formula>
    </cfRule>
    <cfRule type="cellIs" priority="232" stopIfTrue="1" operator="notEqual">
      <formula>$B38</formula>
    </cfRule>
  </conditionalFormatting>
  <conditionalFormatting sqref="R29:R37">
    <cfRule type="cellIs" dxfId="138" priority="230" stopIfTrue="1" operator="notEqual">
      <formula>$B29</formula>
    </cfRule>
  </conditionalFormatting>
  <conditionalFormatting sqref="R42">
    <cfRule type="cellIs" dxfId="137" priority="228" stopIfTrue="1" operator="notEqual">
      <formula>$B42</formula>
    </cfRule>
    <cfRule type="cellIs" priority="229" stopIfTrue="1" operator="notEqual">
      <formula>$B42</formula>
    </cfRule>
  </conditionalFormatting>
  <conditionalFormatting sqref="R40:R41">
    <cfRule type="cellIs" dxfId="136" priority="227" stopIfTrue="1" operator="notEqual">
      <formula>$B40</formula>
    </cfRule>
  </conditionalFormatting>
  <conditionalFormatting sqref="R43">
    <cfRule type="cellIs" dxfId="135" priority="226" stopIfTrue="1" operator="notEqual">
      <formula>$B43</formula>
    </cfRule>
  </conditionalFormatting>
  <conditionalFormatting sqref="R54">
    <cfRule type="cellIs" dxfId="134" priority="224" stopIfTrue="1" operator="notEqual">
      <formula>$B54</formula>
    </cfRule>
    <cfRule type="cellIs" priority="225" stopIfTrue="1" operator="notEqual">
      <formula>$B54</formula>
    </cfRule>
  </conditionalFormatting>
  <conditionalFormatting sqref="R62:R63">
    <cfRule type="cellIs" dxfId="133" priority="221" stopIfTrue="1" operator="notEqual">
      <formula>$B62</formula>
    </cfRule>
    <cfRule type="cellIs" priority="222" stopIfTrue="1" operator="notEqual">
      <formula>$B62</formula>
    </cfRule>
  </conditionalFormatting>
  <conditionalFormatting sqref="R70">
    <cfRule type="cellIs" dxfId="132" priority="218" stopIfTrue="1" operator="notEqual">
      <formula>$B70</formula>
    </cfRule>
    <cfRule type="cellIs" priority="219" stopIfTrue="1" operator="notEqual">
      <formula>$B70</formula>
    </cfRule>
  </conditionalFormatting>
  <conditionalFormatting sqref="R65:R69">
    <cfRule type="cellIs" dxfId="131" priority="217" stopIfTrue="1" operator="notEqual">
      <formula>$B65</formula>
    </cfRule>
  </conditionalFormatting>
  <conditionalFormatting sqref="R77">
    <cfRule type="cellIs" dxfId="130" priority="215" stopIfTrue="1" operator="notEqual">
      <formula>$B77</formula>
    </cfRule>
    <cfRule type="cellIs" priority="216" stopIfTrue="1" operator="notEqual">
      <formula>$B77</formula>
    </cfRule>
  </conditionalFormatting>
  <conditionalFormatting sqref="R96">
    <cfRule type="cellIs" dxfId="129" priority="213" stopIfTrue="1" operator="notEqual">
      <formula>$B96</formula>
    </cfRule>
    <cfRule type="cellIs" priority="214" stopIfTrue="1" operator="notEqual">
      <formula>$B96</formula>
    </cfRule>
  </conditionalFormatting>
  <conditionalFormatting sqref="R72:R76">
    <cfRule type="cellIs" dxfId="128" priority="212" stopIfTrue="1" operator="notEqual">
      <formula>$B72</formula>
    </cfRule>
  </conditionalFormatting>
  <conditionalFormatting sqref="R79:R80">
    <cfRule type="cellIs" dxfId="127" priority="211" stopIfTrue="1" operator="notEqual">
      <formula>$B79</formula>
    </cfRule>
  </conditionalFormatting>
  <conditionalFormatting sqref="R104:R105">
    <cfRule type="cellIs" dxfId="126" priority="208" stopIfTrue="1" operator="notEqual">
      <formula>$B104</formula>
    </cfRule>
    <cfRule type="cellIs" priority="209" stopIfTrue="1" operator="notEqual">
      <formula>$B104</formula>
    </cfRule>
  </conditionalFormatting>
  <conditionalFormatting sqref="E105:Q105">
    <cfRule type="cellIs" dxfId="125" priority="206" stopIfTrue="1" operator="notEqual">
      <formula>E$108</formula>
    </cfRule>
  </conditionalFormatting>
  <conditionalFormatting sqref="S13">
    <cfRule type="expression" dxfId="124" priority="203" stopIfTrue="1">
      <formula>(S13+T13)&gt;C13</formula>
    </cfRule>
  </conditionalFormatting>
  <conditionalFormatting sqref="S14">
    <cfRule type="expression" dxfId="123" priority="200" stopIfTrue="1">
      <formula>(S14+T14)&gt;C14</formula>
    </cfRule>
  </conditionalFormatting>
  <conditionalFormatting sqref="S17">
    <cfRule type="expression" dxfId="122" priority="199" stopIfTrue="1">
      <formula>(S17+T17)&gt;C17</formula>
    </cfRule>
  </conditionalFormatting>
  <conditionalFormatting sqref="S18">
    <cfRule type="expression" dxfId="121" priority="191" stopIfTrue="1">
      <formula>(S18+T18)&gt;C18</formula>
    </cfRule>
  </conditionalFormatting>
  <conditionalFormatting sqref="S19">
    <cfRule type="expression" dxfId="120" priority="189" stopIfTrue="1">
      <formula>(S19+T19)&gt;C19</formula>
    </cfRule>
  </conditionalFormatting>
  <conditionalFormatting sqref="S20">
    <cfRule type="expression" dxfId="119" priority="188" stopIfTrue="1">
      <formula>(S20+T20)&gt;C20</formula>
    </cfRule>
  </conditionalFormatting>
  <conditionalFormatting sqref="S21">
    <cfRule type="expression" dxfId="118" priority="187" stopIfTrue="1">
      <formula>(S21+T21)&gt;C21</formula>
    </cfRule>
  </conditionalFormatting>
  <conditionalFormatting sqref="S22">
    <cfRule type="expression" dxfId="117" priority="186" stopIfTrue="1">
      <formula>(S22+T22)&gt;C22</formula>
    </cfRule>
  </conditionalFormatting>
  <conditionalFormatting sqref="S23:S24">
    <cfRule type="expression" dxfId="116" priority="185" stopIfTrue="1">
      <formula>(S23+T23)&gt;C23</formula>
    </cfRule>
  </conditionalFormatting>
  <conditionalFormatting sqref="S25">
    <cfRule type="expression" dxfId="115" priority="184" stopIfTrue="1">
      <formula>(S25+T25)&gt;C25</formula>
    </cfRule>
  </conditionalFormatting>
  <conditionalFormatting sqref="S27">
    <cfRule type="expression" dxfId="114" priority="177" stopIfTrue="1">
      <formula>(S27+T27)&gt;C27</formula>
    </cfRule>
  </conditionalFormatting>
  <conditionalFormatting sqref="S29:S37">
    <cfRule type="expression" dxfId="113" priority="175" stopIfTrue="1">
      <formula>(S29+T29)&gt;C29</formula>
    </cfRule>
  </conditionalFormatting>
  <conditionalFormatting sqref="S30">
    <cfRule type="expression" dxfId="112" priority="173" stopIfTrue="1">
      <formula>(S30+T30)&gt;C30</formula>
    </cfRule>
  </conditionalFormatting>
  <conditionalFormatting sqref="S31">
    <cfRule type="expression" dxfId="111" priority="172" stopIfTrue="1">
      <formula>(S31+T31)&gt;C31</formula>
    </cfRule>
  </conditionalFormatting>
  <conditionalFormatting sqref="S32">
    <cfRule type="expression" dxfId="110" priority="171" stopIfTrue="1">
      <formula>(S32+T32)&gt;C32</formula>
    </cfRule>
  </conditionalFormatting>
  <conditionalFormatting sqref="S33">
    <cfRule type="expression" dxfId="109" priority="170" stopIfTrue="1">
      <formula>(S33+T33)&gt;C33</formula>
    </cfRule>
  </conditionalFormatting>
  <conditionalFormatting sqref="S34">
    <cfRule type="expression" dxfId="108" priority="169" stopIfTrue="1">
      <formula>(S34+T34)&gt;C34</formula>
    </cfRule>
  </conditionalFormatting>
  <conditionalFormatting sqref="S35:S36">
    <cfRule type="expression" dxfId="107" priority="168" stopIfTrue="1">
      <formula>(S35+T35)&gt;C35</formula>
    </cfRule>
  </conditionalFormatting>
  <conditionalFormatting sqref="S37">
    <cfRule type="expression" dxfId="106" priority="167" stopIfTrue="1">
      <formula>(S37+T37)&gt;C37</formula>
    </cfRule>
  </conditionalFormatting>
  <conditionalFormatting sqref="S41">
    <cfRule type="expression" dxfId="105" priority="158" stopIfTrue="1">
      <formula>(S41+T41)&gt;C41</formula>
    </cfRule>
  </conditionalFormatting>
  <conditionalFormatting sqref="S45">
    <cfRule type="expression" dxfId="104" priority="153" stopIfTrue="1">
      <formula>(S45+T45)&gt;C45</formula>
    </cfRule>
  </conditionalFormatting>
  <conditionalFormatting sqref="S46">
    <cfRule type="expression" dxfId="103" priority="148" stopIfTrue="1">
      <formula>(S46+T46)&gt;C46</formula>
    </cfRule>
  </conditionalFormatting>
  <conditionalFormatting sqref="S47">
    <cfRule type="expression" dxfId="102" priority="147" stopIfTrue="1">
      <formula>(S47+T47)&gt;C47</formula>
    </cfRule>
  </conditionalFormatting>
  <conditionalFormatting sqref="S48">
    <cfRule type="expression" dxfId="101" priority="146" stopIfTrue="1">
      <formula>(S48+T48)&gt;C48</formula>
    </cfRule>
  </conditionalFormatting>
  <conditionalFormatting sqref="S49">
    <cfRule type="expression" dxfId="100" priority="145" stopIfTrue="1">
      <formula>(S49+T49)&gt;C49</formula>
    </cfRule>
  </conditionalFormatting>
  <conditionalFormatting sqref="S50">
    <cfRule type="expression" dxfId="99" priority="144" stopIfTrue="1">
      <formula>(S50+T50)&gt;C50</formula>
    </cfRule>
  </conditionalFormatting>
  <conditionalFormatting sqref="S51">
    <cfRule type="expression" dxfId="98" priority="143" stopIfTrue="1">
      <formula>(S51+T51)&gt;C51</formula>
    </cfRule>
  </conditionalFormatting>
  <conditionalFormatting sqref="S52">
    <cfRule type="expression" dxfId="97" priority="142" stopIfTrue="1">
      <formula>(S52+T52)&gt;C52</formula>
    </cfRule>
  </conditionalFormatting>
  <conditionalFormatting sqref="S65:S66 S68">
    <cfRule type="expression" dxfId="96" priority="130" stopIfTrue="1">
      <formula>(S65+T65)&gt;C65</formula>
    </cfRule>
  </conditionalFormatting>
  <conditionalFormatting sqref="S79">
    <cfRule type="expression" dxfId="95" priority="126" stopIfTrue="1">
      <formula>(S79+T79)&gt;C79</formula>
    </cfRule>
  </conditionalFormatting>
  <conditionalFormatting sqref="S80">
    <cfRule type="expression" dxfId="94" priority="125" stopIfTrue="1">
      <formula>(S80+T80)&gt;C80</formula>
    </cfRule>
  </conditionalFormatting>
  <conditionalFormatting sqref="S84">
    <cfRule type="expression" dxfId="93" priority="122" stopIfTrue="1">
      <formula>(S84+T84)&gt;C84</formula>
    </cfRule>
  </conditionalFormatting>
  <conditionalFormatting sqref="S85">
    <cfRule type="expression" dxfId="92" priority="121" stopIfTrue="1">
      <formula>(S85+T85)&gt;C85</formula>
    </cfRule>
  </conditionalFormatting>
  <conditionalFormatting sqref="S86">
    <cfRule type="expression" dxfId="91" priority="120" stopIfTrue="1">
      <formula>(S86+T86)&gt;C86</formula>
    </cfRule>
  </conditionalFormatting>
  <conditionalFormatting sqref="S87">
    <cfRule type="expression" dxfId="90" priority="119" stopIfTrue="1">
      <formula>(S87+T87)&gt;C87</formula>
    </cfRule>
  </conditionalFormatting>
  <conditionalFormatting sqref="S89">
    <cfRule type="expression" dxfId="89" priority="114" stopIfTrue="1">
      <formula>(S89+T89)&gt;C89</formula>
    </cfRule>
  </conditionalFormatting>
  <conditionalFormatting sqref="S90">
    <cfRule type="expression" dxfId="88" priority="113" stopIfTrue="1">
      <formula>(S90+T90)&gt;C90</formula>
    </cfRule>
  </conditionalFormatting>
  <conditionalFormatting sqref="S92">
    <cfRule type="expression" dxfId="87" priority="111" stopIfTrue="1">
      <formula>(S92+T92)&gt;C92</formula>
    </cfRule>
  </conditionalFormatting>
  <conditionalFormatting sqref="S93">
    <cfRule type="expression" dxfId="86" priority="110" stopIfTrue="1">
      <formula>(S93+T93)&gt;C93</formula>
    </cfRule>
  </conditionalFormatting>
  <conditionalFormatting sqref="S94">
    <cfRule type="expression" dxfId="85" priority="109" stopIfTrue="1">
      <formula>(S94+T94)&gt;C94</formula>
    </cfRule>
  </conditionalFormatting>
  <conditionalFormatting sqref="S95">
    <cfRule type="expression" dxfId="84" priority="108" stopIfTrue="1">
      <formula>(S95+T95)&gt;C95</formula>
    </cfRule>
  </conditionalFormatting>
  <conditionalFormatting sqref="S99">
    <cfRule type="expression" dxfId="83" priority="96" stopIfTrue="1">
      <formula>(S99+T99)&gt;C99</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40">
    <cfRule type="expression" dxfId="25" priority="6" stopIfTrue="1">
      <formula>(S40+T40)&gt;C40</formula>
    </cfRule>
  </conditionalFormatting>
  <conditionalFormatting sqref="S43">
    <cfRule type="expression" dxfId="24" priority="5" stopIfTrue="1">
      <formula>(S43+T43)&gt;C43</formula>
    </cfRule>
  </conditionalFormatting>
  <conditionalFormatting sqref="S67">
    <cfRule type="expression" dxfId="23" priority="4" stopIfTrue="1">
      <formula>(S67+T67)&gt;C67</formula>
    </cfRule>
  </conditionalFormatting>
  <conditionalFormatting sqref="S69">
    <cfRule type="expression" dxfId="22" priority="3" stopIfTrue="1">
      <formula>(S69+T69)&gt;C69</formula>
    </cfRule>
  </conditionalFormatting>
  <conditionalFormatting sqref="S53">
    <cfRule type="expression" dxfId="21" priority="2" stopIfTrue="1">
      <formula>(S53+T53)&gt;C53</formula>
    </cfRule>
  </conditionalFormatting>
  <conditionalFormatting sqref="S91">
    <cfRule type="expression" dxfId="20" priority="1" stopIfTrue="1">
      <formula>(S91+T91)&gt;C91</formula>
    </cfRule>
  </conditionalFormatting>
  <printOptions horizontalCentered="1"/>
  <pageMargins left="0.5" right="0.5" top="0.75" bottom="1" header="0.5" footer="0.25"/>
  <pageSetup paperSize="5" scale="91" firstPageNumber="25" fitToHeight="2" orientation="landscape" useFirstPageNumber="1" r:id="rId2"/>
  <headerFooter alignWithMargins="0">
    <oddFooter>&amp;C&amp;P&amp;L&amp;"Arial,Bold Italic"&amp;K000000Community Development Commission 
of the County of Los Angeles&amp;R&amp;"Arial Narrow,Bold"&amp;K000000NOFA 23 - &amp;A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49" sqref="A49"/>
    </sheetView>
  </sheetViews>
  <sheetFormatPr defaultColWidth="0" defaultRowHeight="11.5" zeroHeight="1"/>
  <cols>
    <col min="1" max="1" width="32.63281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63281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63281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63281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63281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63281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63281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63281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63281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63281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63281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63281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63281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63281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63281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63281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63281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63281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63281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63281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63281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63281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63281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63281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63281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63281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63281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63281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63281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63281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63281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63281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63281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63281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63281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63281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63281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63281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63281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63281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63281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63281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63281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63281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63281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63281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63281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63281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63281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63281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63281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63281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63281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63281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63281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63281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63281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63281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63281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63281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63281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63281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63281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63281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594" t="s">
        <v>1440</v>
      </c>
      <c r="B1" s="2595"/>
      <c r="C1" s="2595"/>
      <c r="D1" s="2595"/>
      <c r="E1" s="2595"/>
      <c r="F1" s="2595"/>
      <c r="G1" s="2595"/>
      <c r="H1" s="2595"/>
      <c r="I1" s="2595"/>
      <c r="J1" s="2596"/>
      <c r="K1" s="558"/>
    </row>
    <row r="2" spans="1:11" s="614" customFormat="1" ht="69">
      <c r="A2" s="610"/>
      <c r="B2" s="611" t="s">
        <v>1138</v>
      </c>
      <c r="C2" s="611" t="s">
        <v>1442</v>
      </c>
      <c r="D2" s="612" t="s">
        <v>1443</v>
      </c>
      <c r="E2" s="611" t="s">
        <v>1350</v>
      </c>
      <c r="F2" s="611" t="s">
        <v>1444</v>
      </c>
      <c r="G2" s="611" t="s">
        <v>1445</v>
      </c>
      <c r="H2" s="611" t="s">
        <v>1139</v>
      </c>
      <c r="I2" s="611" t="s">
        <v>1446</v>
      </c>
      <c r="J2" s="611" t="s">
        <v>1447</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4300000</v>
      </c>
      <c r="C4" s="565"/>
      <c r="D4" s="565"/>
      <c r="E4" s="566"/>
      <c r="F4" s="566"/>
      <c r="G4" s="566"/>
      <c r="H4" s="566"/>
      <c r="I4" s="566"/>
      <c r="J4" s="566"/>
      <c r="K4" s="562"/>
    </row>
    <row r="5" spans="1:11" s="563" customFormat="1">
      <c r="A5" s="567" t="s">
        <v>29</v>
      </c>
      <c r="B5" s="564">
        <f>'Sources and Uses Budget'!C5</f>
        <v>156701</v>
      </c>
      <c r="C5" s="565"/>
      <c r="D5" s="565"/>
      <c r="E5" s="566"/>
      <c r="F5" s="566"/>
      <c r="G5" s="566"/>
      <c r="H5" s="566"/>
      <c r="I5" s="566"/>
      <c r="J5" s="566"/>
      <c r="K5" s="562"/>
    </row>
    <row r="6" spans="1:11" s="563" customFormat="1">
      <c r="A6" s="567" t="s">
        <v>30</v>
      </c>
      <c r="B6" s="564">
        <f>'Sources and Uses Budget'!C6</f>
        <v>51489</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4508190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250000</v>
      </c>
      <c r="C10" s="565"/>
      <c r="D10" s="565"/>
      <c r="E10" s="564">
        <f>'Sources and Uses Budget'!S10</f>
        <v>250000</v>
      </c>
      <c r="F10" s="565"/>
      <c r="G10" s="565"/>
      <c r="H10" s="564">
        <f>'Sources and Uses Budget'!T10</f>
        <v>0</v>
      </c>
      <c r="I10" s="565"/>
      <c r="J10" s="565"/>
      <c r="K10" s="562"/>
    </row>
    <row r="11" spans="1:11" s="563" customFormat="1">
      <c r="A11" s="568" t="s">
        <v>630</v>
      </c>
      <c r="B11" s="564">
        <f>'Sources and Uses Budget'!C11</f>
        <v>250000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4758190</v>
      </c>
      <c r="C12" s="564">
        <f>SUM(C8+C11)</f>
        <v>0</v>
      </c>
      <c r="D12" s="564">
        <f>SUM(D8+D11)</f>
        <v>0</v>
      </c>
      <c r="E12" s="566"/>
      <c r="F12" s="566"/>
      <c r="G12" s="566"/>
      <c r="H12" s="566"/>
      <c r="I12" s="566"/>
      <c r="J12" s="566"/>
      <c r="K12" s="562"/>
    </row>
    <row r="13" spans="1:11" s="563" customFormat="1">
      <c r="A13" s="569" t="s">
        <v>970</v>
      </c>
      <c r="B13" s="564">
        <f>'Sources and Uses Budget'!C13</f>
        <v>513729</v>
      </c>
      <c r="C13" s="565"/>
      <c r="D13" s="565"/>
      <c r="E13" s="564">
        <f>'Sources and Uses Budget'!S13</f>
        <v>0</v>
      </c>
      <c r="F13" s="565"/>
      <c r="G13" s="565"/>
      <c r="H13" s="564">
        <f>'Sources and Uses Budget'!T13</f>
        <v>0</v>
      </c>
      <c r="I13" s="565"/>
      <c r="J13" s="565"/>
      <c r="K13" s="562"/>
    </row>
    <row r="14" spans="1:11" s="563" customFormat="1" ht="23">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1991</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632</v>
      </c>
      <c r="B29" s="564">
        <f>'Sources and Uses Budget'!C29</f>
        <v>1620485</v>
      </c>
      <c r="C29" s="565"/>
      <c r="D29" s="565"/>
      <c r="E29" s="564">
        <f>'Sources and Uses Budget'!S29</f>
        <v>1620485</v>
      </c>
      <c r="F29" s="565"/>
      <c r="G29" s="565"/>
      <c r="H29" s="564">
        <f>'Sources and Uses Budget'!T29</f>
        <v>0</v>
      </c>
      <c r="I29" s="565"/>
      <c r="J29" s="565"/>
      <c r="K29" s="562"/>
    </row>
    <row r="30" spans="1:11" s="563" customFormat="1">
      <c r="A30" s="215" t="s">
        <v>633</v>
      </c>
      <c r="B30" s="564">
        <f>'Sources and Uses Budget'!C30</f>
        <v>19666945</v>
      </c>
      <c r="C30" s="565"/>
      <c r="D30" s="565"/>
      <c r="E30" s="564">
        <f>'Sources and Uses Budget'!S30</f>
        <v>19666945</v>
      </c>
      <c r="F30" s="565"/>
      <c r="G30" s="565"/>
      <c r="H30" s="564">
        <f>'Sources and Uses Budget'!T30</f>
        <v>0</v>
      </c>
      <c r="I30" s="565"/>
      <c r="J30" s="565"/>
      <c r="K30" s="562"/>
    </row>
    <row r="31" spans="1:11" s="563" customFormat="1">
      <c r="A31" s="215" t="s">
        <v>634</v>
      </c>
      <c r="B31" s="564">
        <f>'Sources and Uses Budget'!C31</f>
        <v>1735531</v>
      </c>
      <c r="C31" s="565"/>
      <c r="D31" s="565"/>
      <c r="E31" s="564">
        <f>'Sources and Uses Budget'!S31</f>
        <v>1735531</v>
      </c>
      <c r="F31" s="565"/>
      <c r="G31" s="565"/>
      <c r="H31" s="564">
        <f>'Sources and Uses Budget'!T31</f>
        <v>0</v>
      </c>
      <c r="I31" s="565"/>
      <c r="J31" s="565"/>
      <c r="K31" s="562"/>
    </row>
    <row r="32" spans="1:11" s="563" customFormat="1">
      <c r="A32" s="215" t="s">
        <v>142</v>
      </c>
      <c r="B32" s="564">
        <f>'Sources and Uses Budget'!C32</f>
        <v>433882.5</v>
      </c>
      <c r="C32" s="565"/>
      <c r="D32" s="565"/>
      <c r="E32" s="564">
        <f>'Sources and Uses Budget'!S32</f>
        <v>433882.5</v>
      </c>
      <c r="F32" s="565"/>
      <c r="G32" s="565"/>
      <c r="H32" s="564">
        <f>'Sources and Uses Budget'!T32</f>
        <v>0</v>
      </c>
      <c r="I32" s="565"/>
      <c r="J32" s="565"/>
      <c r="K32" s="562"/>
    </row>
    <row r="33" spans="1:11" s="563" customFormat="1">
      <c r="A33" s="215" t="s">
        <v>143</v>
      </c>
      <c r="B33" s="564">
        <f>'Sources and Uses Budget'!C33</f>
        <v>433882.5</v>
      </c>
      <c r="C33" s="565"/>
      <c r="D33" s="565"/>
      <c r="E33" s="564">
        <f>'Sources and Uses Budget'!S33</f>
        <v>433882.5</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607436</v>
      </c>
      <c r="C35" s="565"/>
      <c r="D35" s="565"/>
      <c r="E35" s="564">
        <f>'Sources and Uses Budget'!S35</f>
        <v>607436</v>
      </c>
      <c r="F35" s="565"/>
      <c r="G35" s="565"/>
      <c r="H35" s="564">
        <f>'Sources and Uses Budget'!T35</f>
        <v>0</v>
      </c>
      <c r="I35" s="565"/>
      <c r="J35" s="565"/>
      <c r="K35" s="562"/>
    </row>
    <row r="36" spans="1:11" s="563" customFormat="1">
      <c r="A36" s="857" t="s">
        <v>1991</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24498162</v>
      </c>
      <c r="C38" s="564">
        <f>SUM(C29:C37)</f>
        <v>0</v>
      </c>
      <c r="D38" s="564">
        <f>SUM(D29:D37)</f>
        <v>0</v>
      </c>
      <c r="E38" s="564">
        <f>'Sources and Uses Budget'!S38</f>
        <v>24498162</v>
      </c>
      <c r="F38" s="571">
        <f>SUM(F29:F37)</f>
        <v>0</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1507970</v>
      </c>
      <c r="C40" s="565"/>
      <c r="D40" s="565"/>
      <c r="E40" s="564">
        <f>'Sources and Uses Budget'!S40</f>
        <v>1507970</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1507970</v>
      </c>
      <c r="C42" s="564">
        <f>SUM(C39:C41)</f>
        <v>0</v>
      </c>
      <c r="D42" s="564">
        <f>SUM(D39:D41)</f>
        <v>0</v>
      </c>
      <c r="E42" s="564">
        <f>'Sources and Uses Budget'!S42</f>
        <v>1507970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219725</v>
      </c>
      <c r="C43" s="565"/>
      <c r="D43" s="565"/>
      <c r="E43" s="564">
        <f>'Sources and Uses Budget'!S43</f>
        <v>219725</v>
      </c>
      <c r="F43" s="565"/>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1702145</v>
      </c>
      <c r="C45" s="565"/>
      <c r="D45" s="565"/>
      <c r="E45" s="564">
        <f>'Sources and Uses Budget'!S45</f>
        <v>883503</v>
      </c>
      <c r="F45" s="565"/>
      <c r="G45" s="565"/>
      <c r="H45" s="564">
        <f>'Sources and Uses Budget'!T45</f>
        <v>0</v>
      </c>
      <c r="I45" s="565"/>
      <c r="J45" s="565"/>
      <c r="K45" s="562"/>
    </row>
    <row r="46" spans="1:11" s="563" customFormat="1">
      <c r="A46" s="567" t="s">
        <v>156</v>
      </c>
      <c r="B46" s="564">
        <f>'Sources and Uses Budget'!C46</f>
        <v>197069</v>
      </c>
      <c r="C46" s="565"/>
      <c r="D46" s="565"/>
      <c r="E46" s="564">
        <f>'Sources and Uses Budget'!S46</f>
        <v>95647</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288281</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78000</v>
      </c>
      <c r="C50" s="565"/>
      <c r="D50" s="565"/>
      <c r="E50" s="564">
        <f>'Sources and Uses Budget'!S50</f>
        <v>78000</v>
      </c>
      <c r="F50" s="565"/>
      <c r="G50" s="565"/>
      <c r="H50" s="564">
        <f>'Sources and Uses Budget'!T50</f>
        <v>0</v>
      </c>
      <c r="I50" s="565"/>
      <c r="J50" s="565"/>
      <c r="K50" s="562"/>
    </row>
    <row r="51" spans="1:11" s="563" customFormat="1">
      <c r="A51" s="567" t="s">
        <v>159</v>
      </c>
      <c r="B51" s="564">
        <f>'Sources and Uses Budget'!C51</f>
        <v>80625</v>
      </c>
      <c r="C51" s="565"/>
      <c r="D51" s="565"/>
      <c r="E51" s="564">
        <f>'Sources and Uses Budget'!S51</f>
        <v>80625</v>
      </c>
      <c r="F51" s="565"/>
      <c r="G51" s="565"/>
      <c r="H51" s="564">
        <f>'Sources and Uses Budget'!T51</f>
        <v>0</v>
      </c>
      <c r="I51" s="565"/>
      <c r="J51" s="565"/>
      <c r="K51" s="562"/>
    </row>
    <row r="52" spans="1:11" s="563" customFormat="1">
      <c r="A52" s="567" t="s">
        <v>160</v>
      </c>
      <c r="B52" s="564">
        <f>'Sources and Uses Budget'!C52</f>
        <v>220000</v>
      </c>
      <c r="C52" s="565"/>
      <c r="D52" s="565"/>
      <c r="E52" s="564">
        <f>'Sources and Uses Budget'!S52</f>
        <v>220000</v>
      </c>
      <c r="F52" s="565"/>
      <c r="G52" s="565"/>
      <c r="H52" s="564">
        <f>'Sources and Uses Budget'!T52</f>
        <v>0</v>
      </c>
      <c r="I52" s="565"/>
      <c r="J52" s="565"/>
      <c r="K52" s="562"/>
    </row>
    <row r="53" spans="1:11" s="563" customFormat="1">
      <c r="A53" s="570" t="str">
        <f>'Sources and Uses Budget'!$A53</f>
        <v>Construction Lender Expenses</v>
      </c>
      <c r="B53" s="564">
        <f>'Sources and Uses Budget'!C53</f>
        <v>37000</v>
      </c>
      <c r="C53" s="565"/>
      <c r="D53" s="565"/>
      <c r="E53" s="564">
        <f>'Sources and Uses Budget'!S53</f>
        <v>17958</v>
      </c>
      <c r="F53" s="565"/>
      <c r="G53" s="565"/>
      <c r="H53" s="564">
        <f>'Sources and Uses Budget'!T53</f>
        <v>0</v>
      </c>
      <c r="I53" s="565"/>
      <c r="J53" s="565"/>
      <c r="K53" s="562"/>
    </row>
    <row r="54" spans="1:11" s="574" customFormat="1">
      <c r="A54" s="568" t="s">
        <v>162</v>
      </c>
      <c r="B54" s="564">
        <f>'Sources and Uses Budget'!C54</f>
        <v>2603120</v>
      </c>
      <c r="C54" s="571">
        <f>SUM(C45:C53)</f>
        <v>0</v>
      </c>
      <c r="D54" s="571">
        <f>SUM(D45:D53)</f>
        <v>0</v>
      </c>
      <c r="E54" s="564">
        <f>'Sources and Uses Budget'!S54</f>
        <v>1375733</v>
      </c>
      <c r="F54" s="571">
        <f>SUM(F45:F53)</f>
        <v>0</v>
      </c>
      <c r="G54" s="571">
        <f>SUM(G45:G53)</f>
        <v>0</v>
      </c>
      <c r="H54" s="564">
        <f>'Sources and Uses Budget'!T54</f>
        <v>0</v>
      </c>
      <c r="I54" s="571">
        <f>SUM(I45:I53)</f>
        <v>0</v>
      </c>
      <c r="J54" s="571">
        <f>SUM(J45:J53)</f>
        <v>0</v>
      </c>
      <c r="K54" s="573"/>
    </row>
    <row r="55" spans="1:11" s="563" customFormat="1" ht="12">
      <c r="A55" s="560" t="s">
        <v>438</v>
      </c>
      <c r="B55" s="561"/>
      <c r="C55" s="561"/>
      <c r="D55" s="561"/>
      <c r="E55" s="561"/>
      <c r="F55" s="561"/>
      <c r="G55" s="561"/>
      <c r="H55" s="561"/>
      <c r="I55" s="561"/>
      <c r="J55" s="561"/>
      <c r="K55" s="562"/>
    </row>
    <row r="56" spans="1:11" s="563" customFormat="1">
      <c r="A56" s="567" t="s">
        <v>163</v>
      </c>
      <c r="B56" s="564">
        <f>'Sources and Uses Budget'!C56</f>
        <v>61900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12000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Perm Lender Expenses</v>
      </c>
      <c r="B61" s="564">
        <f>'Sources and Uses Budget'!C61</f>
        <v>10000</v>
      </c>
      <c r="C61" s="565"/>
      <c r="D61" s="565"/>
      <c r="E61" s="566"/>
      <c r="F61" s="566"/>
      <c r="G61" s="566"/>
      <c r="H61" s="566"/>
      <c r="I61" s="566"/>
      <c r="J61" s="566"/>
      <c r="K61" s="562"/>
    </row>
    <row r="62" spans="1:11" s="563" customFormat="1" ht="13.75" customHeight="1">
      <c r="A62" s="568" t="s">
        <v>308</v>
      </c>
      <c r="B62" s="564">
        <f>'Sources and Uses Budget'!C62</f>
        <v>83900</v>
      </c>
      <c r="C62" s="564">
        <f>SUM(C56:C61)</f>
        <v>0</v>
      </c>
      <c r="D62" s="564">
        <f>SUM(D56:D61)</f>
        <v>0</v>
      </c>
      <c r="E62" s="566"/>
      <c r="F62" s="566"/>
      <c r="G62" s="566"/>
      <c r="H62" s="566"/>
      <c r="I62" s="566"/>
      <c r="J62" s="566"/>
      <c r="K62" s="562"/>
    </row>
    <row r="63" spans="1:11" s="563" customFormat="1">
      <c r="A63" s="575" t="s">
        <v>309</v>
      </c>
      <c r="B63" s="564">
        <f>'Sources and Uses Budget'!C63</f>
        <v>34184796</v>
      </c>
      <c r="C63" s="564">
        <f>SUM(C8+C11+C13+C14+C15+C26+C27+C38+C42+C43+C54+C62)</f>
        <v>0</v>
      </c>
      <c r="D63" s="564">
        <f>SUM(D8+D11+D13+D14+D15+D26+D27+D38+D42+D43+D54+D62)</f>
        <v>0</v>
      </c>
      <c r="E63" s="564">
        <f>'Sources and Uses Budget'!S63</f>
        <v>27851590</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1995</v>
      </c>
      <c r="B64" s="561"/>
      <c r="C64" s="561"/>
      <c r="D64" s="561"/>
      <c r="E64" s="561"/>
      <c r="F64" s="561"/>
      <c r="G64" s="561"/>
      <c r="H64" s="561"/>
      <c r="I64" s="561"/>
      <c r="J64" s="561"/>
      <c r="K64" s="562"/>
    </row>
    <row r="65" spans="1:11" s="563" customFormat="1">
      <c r="A65" s="215" t="s">
        <v>175</v>
      </c>
      <c r="B65" s="564">
        <f>'Sources and Uses Budget'!C65</f>
        <v>80000</v>
      </c>
      <c r="C65" s="565"/>
      <c r="D65" s="565"/>
      <c r="E65" s="564">
        <f>'Sources and Uses Budget'!S65</f>
        <v>29121</v>
      </c>
      <c r="F65" s="565"/>
      <c r="G65" s="565"/>
      <c r="H65" s="564">
        <f>'Sources and Uses Budget'!T65</f>
        <v>0</v>
      </c>
      <c r="I65" s="565"/>
      <c r="J65" s="565"/>
      <c r="K65" s="562"/>
    </row>
    <row r="66" spans="1:11" s="563" customFormat="1" ht="23">
      <c r="A66" s="439" t="s">
        <v>1992</v>
      </c>
      <c r="B66" s="564">
        <f>'Sources and Uses Budget'!C66</f>
        <v>0</v>
      </c>
      <c r="C66" s="565"/>
      <c r="D66" s="565"/>
      <c r="E66" s="564">
        <f>'Sources and Uses Budget'!S66</f>
        <v>0</v>
      </c>
      <c r="F66" s="565"/>
      <c r="G66" s="565"/>
      <c r="H66" s="564">
        <f>'Sources and Uses Budget'!T66</f>
        <v>0</v>
      </c>
      <c r="I66" s="565"/>
      <c r="J66" s="565"/>
      <c r="K66" s="562"/>
    </row>
    <row r="67" spans="1:11" s="563" customFormat="1" ht="23">
      <c r="A67" s="439" t="s">
        <v>1993</v>
      </c>
      <c r="B67" s="564">
        <f>'Sources and Uses Budget'!C67</f>
        <v>60000</v>
      </c>
      <c r="C67" s="565"/>
      <c r="D67" s="565"/>
      <c r="E67" s="564">
        <f>'Sources and Uses Budget'!S67</f>
        <v>60000</v>
      </c>
      <c r="F67" s="565"/>
      <c r="G67" s="565"/>
      <c r="H67" s="564">
        <f>'Sources and Uses Budget'!T67</f>
        <v>0</v>
      </c>
      <c r="I67" s="565"/>
      <c r="J67" s="565"/>
      <c r="K67" s="562"/>
    </row>
    <row r="68" spans="1:11" s="563" customFormat="1">
      <c r="A68" s="439" t="s">
        <v>1999</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Sponsor Legal</v>
      </c>
      <c r="B69" s="564">
        <f>'Sources and Uses Budget'!C69</f>
        <v>75000</v>
      </c>
      <c r="C69" s="565"/>
      <c r="D69" s="565"/>
      <c r="E69" s="564">
        <f>'Sources and Uses Budget'!S69</f>
        <v>75000</v>
      </c>
      <c r="F69" s="565"/>
      <c r="G69" s="565"/>
      <c r="H69" s="564">
        <f>'Sources and Uses Budget'!T69</f>
        <v>0</v>
      </c>
      <c r="I69" s="565"/>
      <c r="J69" s="565"/>
      <c r="K69" s="562"/>
    </row>
    <row r="70" spans="1:11" s="563" customFormat="1">
      <c r="A70" s="568" t="s">
        <v>635</v>
      </c>
      <c r="B70" s="564">
        <f>'Sources and Uses Budget'!C70</f>
        <v>215000</v>
      </c>
      <c r="C70" s="564">
        <f>SUM(C64:C69)</f>
        <v>0</v>
      </c>
      <c r="D70" s="564">
        <f>SUM(D64:D69)</f>
        <v>0</v>
      </c>
      <c r="E70" s="564">
        <f>'Sources and Uses Budget'!S70</f>
        <v>164121</v>
      </c>
      <c r="F70" s="571">
        <f>SUM(F65:F69)</f>
        <v>0</v>
      </c>
      <c r="G70" s="571">
        <f>SUM(G65:G69)</f>
        <v>0</v>
      </c>
      <c r="H70" s="564">
        <f>'Sources and Uses Budget'!T70</f>
        <v>0</v>
      </c>
      <c r="I70" s="571">
        <f>SUM(I65:I69)</f>
        <v>0</v>
      </c>
      <c r="J70" s="571">
        <f>SUM(J65:J69)</f>
        <v>0</v>
      </c>
      <c r="K70" s="562"/>
    </row>
    <row r="71" spans="1:11" s="563" customFormat="1" ht="12">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1084</v>
      </c>
      <c r="B74" s="564">
        <f>'Sources and Uses Budget'!C74</f>
        <v>0</v>
      </c>
      <c r="C74" s="565"/>
      <c r="D74" s="565"/>
      <c r="E74" s="566"/>
      <c r="F74" s="566"/>
      <c r="G74" s="566"/>
      <c r="H74" s="566"/>
      <c r="I74" s="566"/>
      <c r="J74" s="566"/>
      <c r="K74" s="562"/>
    </row>
    <row r="75" spans="1:11" s="563" customFormat="1">
      <c r="A75" s="567" t="s">
        <v>639</v>
      </c>
      <c r="B75" s="564">
        <f>'Sources and Uses Budget'!C75</f>
        <v>304660</v>
      </c>
      <c r="C75" s="565"/>
      <c r="D75" s="565"/>
      <c r="E75" s="566"/>
      <c r="F75" s="566"/>
      <c r="G75" s="566"/>
      <c r="H75" s="566"/>
      <c r="I75" s="566"/>
      <c r="J75" s="566"/>
      <c r="K75" s="562"/>
    </row>
    <row r="76" spans="1:11" s="563" customFormat="1">
      <c r="A76" s="570" t="str">
        <f>'Sources and Uses Budget'!$A76</f>
        <v>Subsidy Transition Reserve</v>
      </c>
      <c r="B76" s="564">
        <f>'Sources and Uses Budget'!C76</f>
        <v>541109</v>
      </c>
      <c r="C76" s="565"/>
      <c r="D76" s="565"/>
      <c r="E76" s="566"/>
      <c r="F76" s="566"/>
      <c r="G76" s="566"/>
      <c r="H76" s="566"/>
      <c r="I76" s="566"/>
      <c r="J76" s="566"/>
      <c r="K76" s="562"/>
    </row>
    <row r="77" spans="1:11" s="563" customFormat="1">
      <c r="A77" s="568" t="s">
        <v>640</v>
      </c>
      <c r="B77" s="564">
        <f>'Sources and Uses Budget'!C77</f>
        <v>845769</v>
      </c>
      <c r="C77" s="564">
        <f>SUM(C72:C76)</f>
        <v>0</v>
      </c>
      <c r="D77" s="564">
        <f>SUM(D72:D76)</f>
        <v>0</v>
      </c>
      <c r="E77" s="566"/>
      <c r="F77" s="566"/>
      <c r="G77" s="566"/>
      <c r="H77" s="566"/>
      <c r="I77" s="566"/>
      <c r="J77" s="566"/>
      <c r="K77" s="562"/>
    </row>
    <row r="78" spans="1:11" s="563" customFormat="1" ht="12">
      <c r="A78" s="560" t="s">
        <v>1418</v>
      </c>
      <c r="B78" s="561"/>
      <c r="C78" s="561"/>
      <c r="D78" s="561"/>
      <c r="E78" s="561"/>
      <c r="F78" s="561"/>
      <c r="G78" s="561"/>
      <c r="H78" s="561"/>
      <c r="I78" s="561"/>
      <c r="J78" s="561"/>
      <c r="K78" s="562"/>
    </row>
    <row r="79" spans="1:11" s="563" customFormat="1">
      <c r="A79" s="567" t="s">
        <v>1420</v>
      </c>
      <c r="B79" s="564">
        <f>'Sources and Uses Budget'!C79</f>
        <v>2490485</v>
      </c>
      <c r="C79" s="565"/>
      <c r="D79" s="565"/>
      <c r="E79" s="564">
        <f>'Sources and Uses Budget'!S79</f>
        <v>2490485</v>
      </c>
      <c r="F79" s="565"/>
      <c r="G79" s="565"/>
      <c r="H79" s="564">
        <f>'Sources and Uses Budget'!T79</f>
        <v>0</v>
      </c>
      <c r="I79" s="565"/>
      <c r="J79" s="565"/>
      <c r="K79" s="562"/>
    </row>
    <row r="80" spans="1:11" s="563" customFormat="1">
      <c r="A80" s="567" t="s">
        <v>61</v>
      </c>
      <c r="B80" s="564">
        <f>'Sources and Uses Budget'!C80</f>
        <v>168253</v>
      </c>
      <c r="C80" s="565"/>
      <c r="D80" s="565"/>
      <c r="E80" s="564">
        <f>'Sources and Uses Budget'!S80</f>
        <v>168253</v>
      </c>
      <c r="F80" s="565"/>
      <c r="G80" s="565"/>
      <c r="H80" s="564">
        <f>'Sources and Uses Budget'!T80</f>
        <v>0</v>
      </c>
      <c r="I80" s="565"/>
      <c r="J80" s="565"/>
      <c r="K80" s="562"/>
    </row>
    <row r="81" spans="1:11" s="563" customFormat="1">
      <c r="A81" s="568" t="s">
        <v>1417</v>
      </c>
      <c r="B81" s="564">
        <f>'Sources and Uses Budget'!C81</f>
        <v>2658738</v>
      </c>
      <c r="C81" s="564">
        <f>SUM(C79:C80)</f>
        <v>0</v>
      </c>
      <c r="D81" s="564">
        <f>SUM(D79:D80)</f>
        <v>0</v>
      </c>
      <c r="E81" s="564">
        <f>'Sources and Uses Budget'!S81</f>
        <v>2658738</v>
      </c>
      <c r="F81" s="564">
        <f>SUM(F79:F80)</f>
        <v>0</v>
      </c>
      <c r="G81" s="564">
        <f>SUM(G79:G80)</f>
        <v>0</v>
      </c>
      <c r="H81" s="564">
        <f>'Sources and Uses Budget'!T81</f>
        <v>0</v>
      </c>
      <c r="I81" s="564">
        <f>SUM(I79:I80)</f>
        <v>0</v>
      </c>
      <c r="J81" s="564">
        <f>SUM(J79:J80)</f>
        <v>0</v>
      </c>
      <c r="K81" s="562"/>
    </row>
    <row r="82" spans="1:11" s="563" customFormat="1" ht="12">
      <c r="A82" s="560" t="s">
        <v>822</v>
      </c>
      <c r="B82" s="561"/>
      <c r="C82" s="561"/>
      <c r="D82" s="561"/>
      <c r="E82" s="561"/>
      <c r="F82" s="561"/>
      <c r="G82" s="561"/>
      <c r="H82" s="561"/>
      <c r="I82" s="561"/>
      <c r="J82" s="561"/>
      <c r="K82" s="562"/>
    </row>
    <row r="83" spans="1:11" s="563" customFormat="1" ht="13.75" customHeight="1">
      <c r="A83" s="215" t="s">
        <v>823</v>
      </c>
      <c r="B83" s="564">
        <f>'Sources and Uses Budget'!C83</f>
        <v>56806</v>
      </c>
      <c r="C83" s="565"/>
      <c r="D83" s="565"/>
      <c r="E83" s="566"/>
      <c r="F83" s="566"/>
      <c r="G83" s="566"/>
      <c r="H83" s="566"/>
      <c r="I83" s="566"/>
      <c r="J83" s="566"/>
      <c r="K83" s="562"/>
    </row>
    <row r="84" spans="1:11" s="563" customFormat="1">
      <c r="A84" s="215" t="s">
        <v>824</v>
      </c>
      <c r="B84" s="564">
        <f>'Sources and Uses Budget'!C84</f>
        <v>5050</v>
      </c>
      <c r="C84" s="565"/>
      <c r="D84" s="565"/>
      <c r="E84" s="564">
        <f>'Sources and Uses Budget'!S84</f>
        <v>5050</v>
      </c>
      <c r="F84" s="565"/>
      <c r="G84" s="565"/>
      <c r="H84" s="564">
        <f>'Sources and Uses Budget'!T84</f>
        <v>0</v>
      </c>
      <c r="I84" s="565"/>
      <c r="J84" s="565"/>
      <c r="K84" s="562"/>
    </row>
    <row r="85" spans="1:11" s="563" customFormat="1">
      <c r="A85" s="215" t="s">
        <v>825</v>
      </c>
      <c r="B85" s="564">
        <f>'Sources and Uses Budget'!C85</f>
        <v>186868</v>
      </c>
      <c r="C85" s="565"/>
      <c r="D85" s="565"/>
      <c r="E85" s="564">
        <f>'Sources and Uses Budget'!S85</f>
        <v>186868</v>
      </c>
      <c r="F85" s="565"/>
      <c r="G85" s="565"/>
      <c r="H85" s="564">
        <f>'Sources and Uses Budget'!T85</f>
        <v>0</v>
      </c>
      <c r="I85" s="565"/>
      <c r="J85" s="565"/>
      <c r="K85" s="562"/>
    </row>
    <row r="86" spans="1:11" s="563" customFormat="1">
      <c r="A86" s="215" t="s">
        <v>826</v>
      </c>
      <c r="B86" s="564">
        <f>'Sources and Uses Budget'!C86</f>
        <v>250000</v>
      </c>
      <c r="C86" s="565"/>
      <c r="D86" s="565"/>
      <c r="E86" s="564">
        <f>'Sources and Uses Budget'!S86</f>
        <v>250000</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92418</v>
      </c>
      <c r="C88" s="565"/>
      <c r="D88" s="565"/>
      <c r="E88" s="566"/>
      <c r="F88" s="566"/>
      <c r="G88" s="566"/>
      <c r="H88" s="566"/>
      <c r="I88" s="566"/>
      <c r="J88" s="566"/>
      <c r="K88" s="562"/>
    </row>
    <row r="89" spans="1:11" s="563" customFormat="1">
      <c r="A89" s="215" t="s">
        <v>829</v>
      </c>
      <c r="B89" s="564">
        <f>'Sources and Uses Budget'!C89</f>
        <v>272500</v>
      </c>
      <c r="C89" s="565"/>
      <c r="D89" s="565"/>
      <c r="E89" s="564">
        <f>'Sources and Uses Budget'!S89</f>
        <v>272500</v>
      </c>
      <c r="F89" s="565"/>
      <c r="G89" s="565"/>
      <c r="H89" s="564">
        <f>'Sources and Uses Budget'!T89</f>
        <v>0</v>
      </c>
      <c r="I89" s="565"/>
      <c r="J89" s="565"/>
      <c r="K89" s="562"/>
    </row>
    <row r="90" spans="1:11" s="563" customFormat="1">
      <c r="A90" s="215" t="s">
        <v>830</v>
      </c>
      <c r="B90" s="564">
        <f>'Sources and Uses Budget'!C90</f>
        <v>9000</v>
      </c>
      <c r="C90" s="565"/>
      <c r="D90" s="565"/>
      <c r="E90" s="564">
        <f>'Sources and Uses Budget'!S90</f>
        <v>0</v>
      </c>
      <c r="F90" s="565"/>
      <c r="G90" s="565"/>
      <c r="H90" s="564">
        <f>'Sources and Uses Budget'!T90</f>
        <v>0</v>
      </c>
      <c r="I90" s="565"/>
      <c r="J90" s="565"/>
      <c r="K90" s="562"/>
    </row>
    <row r="91" spans="1:11" s="563" customFormat="1">
      <c r="A91" s="226" t="s">
        <v>389</v>
      </c>
      <c r="B91" s="564">
        <f>'Sources and Uses Budget'!C91</f>
        <v>17400</v>
      </c>
      <c r="C91" s="565"/>
      <c r="D91" s="565"/>
      <c r="E91" s="564">
        <f>'Sources and Uses Budget'!S91</f>
        <v>17400</v>
      </c>
      <c r="F91" s="565"/>
      <c r="G91" s="565"/>
      <c r="H91" s="564">
        <f>'Sources and Uses Budget'!T91</f>
        <v>0</v>
      </c>
      <c r="I91" s="565"/>
      <c r="J91" s="565"/>
      <c r="K91" s="562"/>
    </row>
    <row r="92" spans="1:11" s="563" customFormat="1">
      <c r="A92" s="857" t="s">
        <v>1419</v>
      </c>
      <c r="B92" s="564">
        <f>'Sources and Uses Budget'!C92</f>
        <v>4200</v>
      </c>
      <c r="C92" s="565"/>
      <c r="D92" s="565"/>
      <c r="E92" s="564">
        <f>'Sources and Uses Budget'!S92</f>
        <v>4200</v>
      </c>
      <c r="F92" s="565"/>
      <c r="G92" s="565"/>
      <c r="H92" s="564">
        <f>'Sources and Uses Budget'!T92</f>
        <v>0</v>
      </c>
      <c r="I92" s="565"/>
      <c r="J92" s="565"/>
      <c r="K92" s="562"/>
    </row>
    <row r="93" spans="1:11" s="563" customFormat="1">
      <c r="A93" s="570" t="str">
        <f>'Sources and Uses Budget'!$A93</f>
        <v>Predevelopment Loan Interest</v>
      </c>
      <c r="B93" s="564">
        <f>'Sources and Uses Budget'!C93</f>
        <v>260331</v>
      </c>
      <c r="C93" s="565"/>
      <c r="D93" s="565"/>
      <c r="E93" s="564">
        <f>'Sources and Uses Budget'!S93</f>
        <v>0</v>
      </c>
      <c r="F93" s="565"/>
      <c r="G93" s="565"/>
      <c r="H93" s="564">
        <f>'Sources and Uses Budget'!T93</f>
        <v>0</v>
      </c>
      <c r="I93" s="565"/>
      <c r="J93" s="565"/>
      <c r="K93" s="562"/>
    </row>
    <row r="94" spans="1:11" s="563" customFormat="1">
      <c r="A94" s="570" t="str">
        <f>'Sources and Uses Budget'!$A94</f>
        <v>3rd Party Const Mgmt, Inspections/Testing</v>
      </c>
      <c r="B94" s="564">
        <f>'Sources and Uses Budget'!C94</f>
        <v>347500</v>
      </c>
      <c r="C94" s="565"/>
      <c r="D94" s="565"/>
      <c r="E94" s="564">
        <f>'Sources and Uses Budget'!S94</f>
        <v>347500</v>
      </c>
      <c r="F94" s="565"/>
      <c r="G94" s="565"/>
      <c r="H94" s="564">
        <f>'Sources and Uses Budget'!T94</f>
        <v>0</v>
      </c>
      <c r="I94" s="565"/>
      <c r="J94" s="565"/>
      <c r="K94" s="562"/>
    </row>
    <row r="95" spans="1:11" s="563" customFormat="1" ht="23">
      <c r="A95" s="570" t="str">
        <f>'Sources and Uses Budget'!$A95</f>
        <v>Prevailing Wage Monitoring; Utility Connections</v>
      </c>
      <c r="B95" s="564">
        <f>'Sources and Uses Budget'!C95</f>
        <v>543775</v>
      </c>
      <c r="C95" s="565"/>
      <c r="D95" s="565"/>
      <c r="E95" s="564">
        <f>'Sources and Uses Budget'!S95</f>
        <v>543775</v>
      </c>
      <c r="F95" s="565"/>
      <c r="G95" s="565"/>
      <c r="H95" s="564">
        <f>'Sources and Uses Budget'!T95</f>
        <v>0</v>
      </c>
      <c r="I95" s="565"/>
      <c r="J95" s="565"/>
      <c r="K95" s="562"/>
    </row>
    <row r="96" spans="1:11" s="563" customFormat="1">
      <c r="A96" s="568" t="s">
        <v>831</v>
      </c>
      <c r="B96" s="564">
        <f>'Sources and Uses Budget'!C96</f>
        <v>2045848</v>
      </c>
      <c r="C96" s="564">
        <f>SUM(C83:C95)</f>
        <v>0</v>
      </c>
      <c r="D96" s="564">
        <f>SUM(D83:D95)</f>
        <v>0</v>
      </c>
      <c r="E96" s="564">
        <f>'Sources and Uses Budget'!S96</f>
        <v>1627293</v>
      </c>
      <c r="F96" s="571">
        <f>SUM(F84:F87,F89:F95)</f>
        <v>0</v>
      </c>
      <c r="G96" s="571">
        <f>SUM(G84:G87,G89:G95)</f>
        <v>0</v>
      </c>
      <c r="H96" s="564">
        <f>'Sources and Uses Budget'!T96</f>
        <v>0</v>
      </c>
      <c r="I96" s="564">
        <f>SUM(I84:I87,I89:I95)</f>
        <v>0</v>
      </c>
      <c r="J96" s="564">
        <f>SUM(J84:J87,J89:J95)</f>
        <v>0</v>
      </c>
      <c r="K96" s="562"/>
    </row>
    <row r="97" spans="1:11" s="563" customFormat="1">
      <c r="A97" s="568" t="s">
        <v>1140</v>
      </c>
      <c r="B97" s="564">
        <f>'Sources and Uses Budget'!C97</f>
        <v>39950151</v>
      </c>
      <c r="C97" s="564">
        <f>SUM(C63+C70+C77+C81+C96)</f>
        <v>0</v>
      </c>
      <c r="D97" s="564">
        <f>SUM(D63+D70+D77+D81+D96)</f>
        <v>0</v>
      </c>
      <c r="E97" s="564">
        <f>'Sources and Uses Budget'!S97</f>
        <v>32301742</v>
      </c>
      <c r="F97" s="571">
        <f>SUM(+F63+F70+F81+F96)</f>
        <v>0</v>
      </c>
      <c r="G97" s="571">
        <f>SUM(+G63+G70+G81+G96)</f>
        <v>0</v>
      </c>
      <c r="H97" s="564">
        <f>'Sources and Uses Budget'!T97</f>
        <v>0</v>
      </c>
      <c r="I97" s="571">
        <f>SUM(I63+I70+I81+I96)</f>
        <v>0</v>
      </c>
      <c r="J97" s="571">
        <f>SUM(J63+J70+J81+J96)</f>
        <v>0</v>
      </c>
      <c r="K97" s="562"/>
    </row>
    <row r="98" spans="1:11" s="563" customFormat="1" ht="12">
      <c r="A98" s="560" t="s">
        <v>833</v>
      </c>
      <c r="B98" s="561"/>
      <c r="C98" s="561"/>
      <c r="D98" s="561"/>
      <c r="E98" s="561"/>
      <c r="F98" s="561"/>
      <c r="G98" s="561"/>
      <c r="H98" s="561"/>
      <c r="I98" s="561"/>
      <c r="J98" s="561"/>
      <c r="K98" s="562"/>
    </row>
    <row r="99" spans="1:11" s="563" customFormat="1">
      <c r="A99" s="215" t="s">
        <v>834</v>
      </c>
      <c r="B99" s="564">
        <f>'Sources and Uses Budget'!C99</f>
        <v>4845261</v>
      </c>
      <c r="C99" s="565"/>
      <c r="D99" s="565"/>
      <c r="E99" s="564">
        <f>'Sources and Uses Budget'!S99</f>
        <v>4845261</v>
      </c>
      <c r="F99" s="565"/>
      <c r="G99" s="565"/>
      <c r="H99" s="564">
        <f>'Sources and Uses Budget'!T99</f>
        <v>0</v>
      </c>
      <c r="I99" s="565"/>
      <c r="J99" s="565"/>
      <c r="K99" s="562"/>
    </row>
    <row r="100" spans="1:11" s="563" customFormat="1">
      <c r="A100" s="439" t="s">
        <v>1997</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1998</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4845261</v>
      </c>
      <c r="C104" s="564">
        <f>SUM(C99:C103)</f>
        <v>0</v>
      </c>
      <c r="D104" s="564">
        <f>SUM(D99:D103)</f>
        <v>0</v>
      </c>
      <c r="E104" s="564">
        <f>'Sources and Uses Budget'!S104</f>
        <v>4845261</v>
      </c>
      <c r="F104" s="571">
        <f>SUM(F99:F103)</f>
        <v>0</v>
      </c>
      <c r="G104" s="571">
        <f>SUM(G99:G103)</f>
        <v>0</v>
      </c>
      <c r="H104" s="564">
        <f>'Sources and Uses Budget'!T104</f>
        <v>0</v>
      </c>
      <c r="I104" s="571">
        <f>SUM(I99:I103)</f>
        <v>0</v>
      </c>
      <c r="J104" s="571">
        <f>SUM(J99:J103)</f>
        <v>0</v>
      </c>
      <c r="K104" s="562"/>
    </row>
    <row r="105" spans="1:11" s="563" customFormat="1">
      <c r="A105" s="568" t="s">
        <v>1141</v>
      </c>
      <c r="B105" s="564">
        <f>'Sources and Uses Budget'!C105</f>
        <v>44795412</v>
      </c>
      <c r="C105" s="571">
        <f>SUM(C97+C104)</f>
        <v>0</v>
      </c>
      <c r="D105" s="571">
        <f>SUM(D97+D104)</f>
        <v>0</v>
      </c>
      <c r="E105" s="564">
        <f>'Sources and Uses Budget'!S105</f>
        <v>37147003</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392</v>
      </c>
      <c r="E107" s="564">
        <f>'Sources and Uses Budget'!S107</f>
        <v>37147003</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8"/>
      <c r="E124" s="2589"/>
      <c r="F124" s="2589"/>
      <c r="G124" s="2589"/>
      <c r="H124" s="2589"/>
      <c r="I124" s="2589"/>
      <c r="J124" s="582"/>
      <c r="K124" s="562"/>
    </row>
    <row r="125" spans="1:11" s="563" customFormat="1" ht="12.5">
      <c r="A125" s="593"/>
      <c r="B125" s="592"/>
      <c r="C125" s="593"/>
      <c r="D125" s="2589"/>
      <c r="E125" s="2589"/>
      <c r="F125" s="2589"/>
      <c r="G125" s="2589"/>
      <c r="H125" s="2589"/>
      <c r="I125" s="2589"/>
      <c r="J125" s="582"/>
      <c r="K125" s="562"/>
    </row>
    <row r="126" spans="1:11" s="563" customFormat="1" ht="12.5">
      <c r="A126" s="593"/>
      <c r="B126" s="592"/>
      <c r="C126" s="593"/>
      <c r="D126" s="2589"/>
      <c r="E126" s="2589"/>
      <c r="F126" s="2589"/>
      <c r="G126" s="2589"/>
      <c r="H126" s="2589"/>
      <c r="I126" s="2589"/>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590"/>
      <c r="B139" s="2591"/>
      <c r="C139" s="2591"/>
      <c r="D139" s="605"/>
      <c r="E139" s="593"/>
      <c r="F139" s="593"/>
      <c r="G139" s="593"/>
    </row>
    <row r="140" spans="1:11" ht="12" customHeight="1">
      <c r="A140" s="2592"/>
      <c r="B140" s="2593"/>
      <c r="C140" s="2593"/>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49" sqref="B49"/>
    </sheetView>
  </sheetViews>
  <sheetFormatPr defaultColWidth="2.6328125" defaultRowHeight="15.75" customHeight="1"/>
  <cols>
    <col min="1" max="37" width="2.6328125" style="1525"/>
    <col min="38" max="38" width="3" style="1525" customWidth="1"/>
    <col min="39" max="64" width="2.6328125" style="1525"/>
    <col min="65" max="65" width="6.1796875" style="1525" bestFit="1" customWidth="1"/>
    <col min="66" max="70" width="5.453125" style="1525" bestFit="1" customWidth="1"/>
    <col min="71" max="71" width="6.1796875" style="1525" bestFit="1" customWidth="1"/>
    <col min="72" max="76" width="5.453125" style="1525" bestFit="1" customWidth="1"/>
    <col min="77" max="77" width="6.1796875" style="1525" bestFit="1" customWidth="1"/>
    <col min="78" max="78" width="5.453125" style="1525" bestFit="1" customWidth="1"/>
    <col min="79" max="16384" width="2.6328125" style="1525"/>
  </cols>
  <sheetData>
    <row r="1" spans="1:58" ht="15.75" customHeight="1">
      <c r="A1" s="2597" t="s">
        <v>2030</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598"/>
      <c r="AW1" s="2598"/>
      <c r="AX1" s="2598"/>
      <c r="AY1" s="2598"/>
      <c r="AZ1" s="2598"/>
      <c r="BA1" s="2598"/>
      <c r="BB1" s="2598"/>
      <c r="BC1" s="2598"/>
      <c r="BD1" s="2598"/>
      <c r="BE1" s="2599"/>
    </row>
    <row r="2" spans="1:58" ht="15.75" customHeight="1">
      <c r="A2" s="2600" t="s">
        <v>2031</v>
      </c>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c r="AE2" s="2601"/>
      <c r="AF2" s="2601"/>
      <c r="AG2" s="2601"/>
      <c r="AH2" s="2601"/>
      <c r="AI2" s="2601"/>
      <c r="AJ2" s="2601"/>
      <c r="AK2" s="2601"/>
      <c r="AL2" s="2601"/>
      <c r="AM2" s="2601"/>
      <c r="AN2" s="2601"/>
      <c r="AO2" s="2601"/>
      <c r="AP2" s="2601"/>
      <c r="AQ2" s="2601"/>
      <c r="AR2" s="2601"/>
      <c r="AS2" s="2601"/>
      <c r="AT2" s="2601"/>
      <c r="AU2" s="2601"/>
      <c r="AV2" s="2601"/>
      <c r="AW2" s="2601"/>
      <c r="AX2" s="2601"/>
      <c r="AY2" s="2601"/>
      <c r="AZ2" s="2601"/>
      <c r="BA2" s="2601"/>
      <c r="BB2" s="2601"/>
      <c r="BC2" s="2601"/>
      <c r="BD2" s="2601"/>
      <c r="BE2" s="2602"/>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03" t="str">
        <f>IF(Application!H18="","",Application!H18)</f>
        <v>Beacon Landing</v>
      </c>
      <c r="M4" s="2604"/>
      <c r="N4" s="2604"/>
      <c r="O4" s="2604"/>
      <c r="P4" s="2604"/>
      <c r="Q4" s="2604"/>
      <c r="R4" s="2604"/>
      <c r="S4" s="2604"/>
      <c r="T4" s="2604"/>
      <c r="U4" s="2604"/>
      <c r="V4" s="2604"/>
      <c r="W4" s="2604"/>
      <c r="X4" s="2604"/>
      <c r="Y4" s="2604"/>
      <c r="Z4" s="2604"/>
      <c r="AA4" s="2604"/>
      <c r="AB4" s="2604"/>
      <c r="AC4" s="2605"/>
      <c r="AD4" s="1528"/>
      <c r="AE4" s="1528"/>
      <c r="AF4" s="2606" t="s">
        <v>2032</v>
      </c>
      <c r="AG4" s="2607"/>
      <c r="AH4" s="2607"/>
      <c r="AI4" s="2607"/>
      <c r="AJ4" s="2607"/>
      <c r="AK4" s="2607"/>
      <c r="AL4" s="2607"/>
      <c r="AM4" s="2607"/>
      <c r="AN4" s="2607"/>
      <c r="AO4" s="2607"/>
      <c r="AP4" s="2608">
        <v>44197</v>
      </c>
      <c r="AQ4" s="2609"/>
      <c r="AR4" s="2609"/>
      <c r="AS4" s="2609"/>
      <c r="AT4" s="2609"/>
      <c r="AU4" s="261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1" t="s">
        <v>2033</v>
      </c>
      <c r="AG5" s="2612"/>
      <c r="AH5" s="2612"/>
      <c r="AI5" s="2612"/>
      <c r="AJ5" s="2612"/>
      <c r="AK5" s="2612"/>
      <c r="AL5" s="2612"/>
      <c r="AM5" s="2612"/>
      <c r="AN5" s="2612"/>
      <c r="AO5" s="2612"/>
      <c r="AP5" s="2608">
        <v>44197</v>
      </c>
      <c r="AQ5" s="2609"/>
      <c r="AR5" s="2609"/>
      <c r="AS5" s="2609"/>
      <c r="AT5" s="2609"/>
      <c r="AU5" s="2610"/>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627" t="str">
        <f>IF(Application!H16="","",Application!H16)</f>
        <v>Abode Communities</v>
      </c>
      <c r="M6" s="2628"/>
      <c r="N6" s="2628"/>
      <c r="O6" s="2628"/>
      <c r="P6" s="2628"/>
      <c r="Q6" s="2628"/>
      <c r="R6" s="2628"/>
      <c r="S6" s="2628"/>
      <c r="T6" s="2628"/>
      <c r="U6" s="2628"/>
      <c r="V6" s="2628"/>
      <c r="W6" s="2628"/>
      <c r="X6" s="2628"/>
      <c r="Y6" s="2628"/>
      <c r="Z6" s="2628"/>
      <c r="AA6" s="2628"/>
      <c r="AB6" s="2628"/>
      <c r="AC6" s="262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0" t="str">
        <f>Application!T196</f>
        <v>No</v>
      </c>
      <c r="AC8" s="2631"/>
      <c r="AD8" s="263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2037</v>
      </c>
      <c r="C10" s="1530"/>
      <c r="D10" s="1530"/>
      <c r="E10" s="1530"/>
      <c r="F10" s="1530"/>
      <c r="G10" s="1530"/>
      <c r="H10" s="1530"/>
      <c r="I10" s="1530"/>
      <c r="J10" s="1530"/>
      <c r="K10" s="1530"/>
      <c r="L10" s="1530"/>
      <c r="M10" s="1528"/>
      <c r="N10" s="2633" t="e">
        <f>VLOOKUP("CalHFA Permanent Loan",Application!C564:AS575,37,TRUE)</f>
        <v>#N/A</v>
      </c>
      <c r="O10" s="2634"/>
      <c r="P10" s="2634"/>
      <c r="Q10" s="2634"/>
      <c r="R10" s="2634"/>
      <c r="S10" s="2634"/>
      <c r="T10" s="2635"/>
      <c r="U10" s="1528"/>
      <c r="V10" s="1528"/>
      <c r="W10" s="1528"/>
      <c r="X10" s="2613" t="s">
        <v>2038</v>
      </c>
      <c r="Y10" s="2614"/>
      <c r="Z10" s="2614"/>
      <c r="AA10" s="2614"/>
      <c r="AB10" s="2614"/>
      <c r="AC10" s="2614"/>
      <c r="AD10" s="2614"/>
      <c r="AE10" s="2614"/>
      <c r="AF10" s="2614"/>
      <c r="AG10" s="2614"/>
      <c r="AH10" s="2614"/>
      <c r="AI10" s="2614"/>
      <c r="AJ10" s="2614"/>
      <c r="AK10" s="2615"/>
      <c r="AL10" s="2619">
        <f>Application!W471</f>
        <v>23</v>
      </c>
      <c r="AM10" s="2620"/>
      <c r="AN10" s="2620"/>
      <c r="AO10" s="2620"/>
      <c r="AP10" s="2621"/>
      <c r="AQ10" s="1531"/>
      <c r="AR10" s="1531"/>
      <c r="AS10" s="1531"/>
      <c r="AT10" s="1531"/>
      <c r="AU10" s="1531"/>
      <c r="AV10" s="1531"/>
      <c r="AW10" s="1531"/>
      <c r="AX10" s="1528"/>
      <c r="AY10" s="1528"/>
      <c r="AZ10" s="1528"/>
      <c r="BA10" s="1528"/>
      <c r="BB10" s="1528"/>
      <c r="BC10" s="1528"/>
      <c r="BD10" s="1528"/>
      <c r="BE10" s="1529"/>
    </row>
    <row r="11" spans="1:58" ht="15" thickBot="1">
      <c r="A11" s="1816"/>
      <c r="B11" s="1530" t="s">
        <v>2039</v>
      </c>
      <c r="C11" s="1530"/>
      <c r="D11" s="1530"/>
      <c r="E11" s="1530"/>
      <c r="F11" s="1530"/>
      <c r="G11" s="1530"/>
      <c r="H11" s="1530"/>
      <c r="I11" s="1530"/>
      <c r="J11" s="1530"/>
      <c r="K11" s="1530"/>
      <c r="L11" s="1530"/>
      <c r="M11" s="1528"/>
      <c r="N11" s="2636">
        <f>Application!AA925</f>
        <v>0</v>
      </c>
      <c r="O11" s="2637"/>
      <c r="P11" s="2637"/>
      <c r="Q11" s="2637"/>
      <c r="R11" s="2637"/>
      <c r="S11" s="2637"/>
      <c r="T11" s="2638"/>
      <c r="U11" s="1528"/>
      <c r="V11" s="1528"/>
      <c r="W11" s="1528"/>
      <c r="X11" s="2639" t="s">
        <v>2040</v>
      </c>
      <c r="Y11" s="2640"/>
      <c r="Z11" s="2640"/>
      <c r="AA11" s="2640"/>
      <c r="AB11" s="2640"/>
      <c r="AC11" s="2640"/>
      <c r="AD11" s="2640"/>
      <c r="AE11" s="2640"/>
      <c r="AF11" s="2640"/>
      <c r="AG11" s="2640"/>
      <c r="AH11" s="2640"/>
      <c r="AI11" s="2640"/>
      <c r="AJ11" s="2640"/>
      <c r="AK11" s="2641"/>
      <c r="AL11" s="2616">
        <v>44197</v>
      </c>
      <c r="AM11" s="2617"/>
      <c r="AN11" s="2617"/>
      <c r="AO11" s="2617"/>
      <c r="AP11" s="2618"/>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3" t="s">
        <v>2041</v>
      </c>
      <c r="Y12" s="2614"/>
      <c r="Z12" s="2614"/>
      <c r="AA12" s="2614"/>
      <c r="AB12" s="2614"/>
      <c r="AC12" s="2614"/>
      <c r="AD12" s="2614"/>
      <c r="AE12" s="2614"/>
      <c r="AF12" s="2614"/>
      <c r="AG12" s="2614"/>
      <c r="AH12" s="2614"/>
      <c r="AI12" s="2614"/>
      <c r="AJ12" s="2614"/>
      <c r="AK12" s="2615"/>
      <c r="AL12" s="2616">
        <v>44197</v>
      </c>
      <c r="AM12" s="2617"/>
      <c r="AN12" s="2617"/>
      <c r="AO12" s="2617"/>
      <c r="AP12" s="2618"/>
      <c r="AQ12" s="1531"/>
      <c r="AR12" s="1531"/>
      <c r="AS12" s="1531"/>
      <c r="AT12" s="1531"/>
      <c r="AU12" s="1531"/>
      <c r="AV12" s="1528"/>
      <c r="AW12" s="1528"/>
      <c r="AX12" s="1528"/>
      <c r="AY12" s="1528"/>
      <c r="AZ12" s="1528"/>
      <c r="BA12" s="1528"/>
      <c r="BB12" s="1528"/>
      <c r="BC12" s="1528"/>
      <c r="BD12" s="1528"/>
      <c r="BE12" s="1534"/>
    </row>
    <row r="13" spans="1:58" ht="15" thickBot="1">
      <c r="A13" s="1817"/>
      <c r="B13" s="2613" t="s">
        <v>2042</v>
      </c>
      <c r="C13" s="2614"/>
      <c r="D13" s="2614"/>
      <c r="E13" s="2614"/>
      <c r="F13" s="2614"/>
      <c r="G13" s="2614"/>
      <c r="H13" s="2614"/>
      <c r="I13" s="2614"/>
      <c r="J13" s="2614"/>
      <c r="K13" s="2614"/>
      <c r="L13" s="2614"/>
      <c r="M13" s="2614"/>
      <c r="N13" s="2614"/>
      <c r="O13" s="2614"/>
      <c r="P13" s="2615"/>
      <c r="Q13" s="2622" t="s">
        <v>2036</v>
      </c>
      <c r="R13" s="2609"/>
      <c r="S13" s="2609"/>
      <c r="T13" s="261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623" t="s">
        <v>2043</v>
      </c>
      <c r="C15" s="2623"/>
      <c r="D15" s="2623"/>
      <c r="E15" s="2623"/>
      <c r="F15" s="2623"/>
      <c r="G15" s="2623"/>
      <c r="H15" s="2623"/>
      <c r="I15" s="2623"/>
      <c r="J15" s="2623"/>
      <c r="K15" s="2623"/>
      <c r="L15" s="2624"/>
      <c r="M15" s="2606" t="s">
        <v>2044</v>
      </c>
      <c r="N15" s="2607"/>
      <c r="O15" s="2607"/>
      <c r="P15" s="2607"/>
      <c r="Q15" s="2607"/>
      <c r="R15" s="2607"/>
      <c r="S15" s="2625" t="str">
        <f>IF(Application!AB214="","",Application!AB214)</f>
        <v>N/A</v>
      </c>
      <c r="T15" s="2625"/>
      <c r="U15" s="2625"/>
      <c r="V15" s="2625"/>
      <c r="W15" s="262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642" t="s">
        <v>2045</v>
      </c>
      <c r="C17" s="2643"/>
      <c r="D17" s="2643"/>
      <c r="E17" s="2643"/>
      <c r="F17" s="2643"/>
      <c r="G17" s="2643"/>
      <c r="H17" s="2643"/>
      <c r="I17" s="2643"/>
      <c r="J17" s="2643"/>
      <c r="K17" s="2643"/>
      <c r="L17" s="2643"/>
      <c r="M17" s="2643"/>
      <c r="N17" s="2643"/>
      <c r="O17" s="2643"/>
      <c r="P17" s="2643"/>
      <c r="Q17" s="2643"/>
      <c r="R17" s="2643"/>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2643"/>
      <c r="AP17" s="2643"/>
      <c r="AQ17" s="2643"/>
      <c r="AR17" s="2643"/>
      <c r="AS17" s="2643"/>
      <c r="AT17" s="2643"/>
      <c r="AU17" s="2643"/>
      <c r="AV17" s="2643"/>
      <c r="AW17" s="2643"/>
      <c r="AX17" s="2643"/>
      <c r="AY17" s="2644"/>
      <c r="AZ17" s="1528"/>
      <c r="BA17" s="1528"/>
      <c r="BB17" s="1528"/>
      <c r="BC17" s="1528"/>
      <c r="BD17" s="1528"/>
      <c r="BE17" s="1534"/>
      <c r="BF17" s="1526"/>
    </row>
    <row r="18" spans="1:58" ht="15.75" customHeight="1">
      <c r="A18" s="1817"/>
      <c r="B18" s="2645" t="s">
        <v>2046</v>
      </c>
      <c r="C18" s="2646"/>
      <c r="D18" s="2646"/>
      <c r="E18" s="2646"/>
      <c r="F18" s="2646"/>
      <c r="G18" s="2646"/>
      <c r="H18" s="2646"/>
      <c r="I18" s="2647"/>
      <c r="J18" s="2648" t="s">
        <v>1878</v>
      </c>
      <c r="K18" s="2649"/>
      <c r="L18" s="2649"/>
      <c r="M18" s="2649"/>
      <c r="N18" s="2649"/>
      <c r="O18" s="2650"/>
      <c r="P18" s="2648" t="s">
        <v>332</v>
      </c>
      <c r="Q18" s="2649"/>
      <c r="R18" s="2649"/>
      <c r="S18" s="2649"/>
      <c r="T18" s="2649"/>
      <c r="U18" s="2650"/>
      <c r="V18" s="2648" t="s">
        <v>333</v>
      </c>
      <c r="W18" s="2649"/>
      <c r="X18" s="2649"/>
      <c r="Y18" s="2649"/>
      <c r="Z18" s="2649"/>
      <c r="AA18" s="2650"/>
      <c r="AB18" s="2648" t="s">
        <v>168</v>
      </c>
      <c r="AC18" s="2649"/>
      <c r="AD18" s="2649"/>
      <c r="AE18" s="2649"/>
      <c r="AF18" s="2649"/>
      <c r="AG18" s="2650"/>
      <c r="AH18" s="2648" t="s">
        <v>169</v>
      </c>
      <c r="AI18" s="2649"/>
      <c r="AJ18" s="2649"/>
      <c r="AK18" s="2649"/>
      <c r="AL18" s="2649"/>
      <c r="AM18" s="2650"/>
      <c r="AN18" s="2648" t="s">
        <v>170</v>
      </c>
      <c r="AO18" s="2649"/>
      <c r="AP18" s="2649"/>
      <c r="AQ18" s="2649"/>
      <c r="AR18" s="2649"/>
      <c r="AS18" s="2650"/>
      <c r="AT18" s="2648" t="s">
        <v>2047</v>
      </c>
      <c r="AU18" s="2649"/>
      <c r="AV18" s="2649"/>
      <c r="AW18" s="2649"/>
      <c r="AX18" s="2649"/>
      <c r="AY18" s="2651"/>
      <c r="AZ18" s="1528"/>
      <c r="BA18" s="1528"/>
      <c r="BB18" s="1528"/>
      <c r="BC18" s="1528"/>
      <c r="BD18" s="1528"/>
      <c r="BE18" s="1534"/>
    </row>
    <row r="19" spans="1:58" ht="14.5">
      <c r="A19" s="1817"/>
      <c r="B19" s="2658">
        <v>0.2</v>
      </c>
      <c r="C19" s="2659"/>
      <c r="D19" s="2659"/>
      <c r="E19" s="2659"/>
      <c r="F19" s="2659"/>
      <c r="G19" s="2659"/>
      <c r="H19" s="2659"/>
      <c r="I19" s="2659"/>
      <c r="J19" s="2648">
        <f>SUM(P19:AS19)</f>
        <v>0</v>
      </c>
      <c r="K19" s="2649"/>
      <c r="L19" s="2649"/>
      <c r="M19" s="2649"/>
      <c r="N19" s="2649"/>
      <c r="O19" s="2650"/>
      <c r="P19" s="2652" cm="1">
        <f t="array" ref="P19">SUMPRODUCT((Application!$B$728:$B$752 = 'CalHFA Addendum'!P$18)*(Application!$AH$728:$AH$752 = 'CalHFA Addendum'!$B19),Application!$G$728:$G$752)</f>
        <v>0</v>
      </c>
      <c r="Q19" s="2653"/>
      <c r="R19" s="2653"/>
      <c r="S19" s="2653"/>
      <c r="T19" s="2653"/>
      <c r="U19" s="2654"/>
      <c r="V19" s="2652" cm="1">
        <f t="array" ref="V19">SUMPRODUCT((Application!$B$728:$B$752 = 'CalHFA Addendum'!V$18)*(Application!$AH$728:$AH$752 = 'CalHFA Addendum'!$B19),Application!$G$728:$G$752)</f>
        <v>0</v>
      </c>
      <c r="W19" s="2653"/>
      <c r="X19" s="2653"/>
      <c r="Y19" s="2653"/>
      <c r="Z19" s="2653"/>
      <c r="AA19" s="2654"/>
      <c r="AB19" s="2652" cm="1">
        <f t="array" ref="AB19">SUMPRODUCT((Application!$B$728:$B$752 = 'CalHFA Addendum'!AB$18)*(Application!$AH$728:$AH$752 = 'CalHFA Addendum'!$B19),Application!$G$728:$G$752)</f>
        <v>0</v>
      </c>
      <c r="AC19" s="2653"/>
      <c r="AD19" s="2653"/>
      <c r="AE19" s="2653"/>
      <c r="AF19" s="2653"/>
      <c r="AG19" s="2654"/>
      <c r="AH19" s="2652" cm="1">
        <f t="array" ref="AH19">SUMPRODUCT((Application!$B$728:$B$752 = 'CalHFA Addendum'!AH$18)*(Application!$AH$728:$AH$752 = 'CalHFA Addendum'!$B19),Application!$G$728:$G$752)</f>
        <v>0</v>
      </c>
      <c r="AI19" s="2653"/>
      <c r="AJ19" s="2653"/>
      <c r="AK19" s="2653"/>
      <c r="AL19" s="2653"/>
      <c r="AM19" s="2654"/>
      <c r="AN19" s="2652" cm="1">
        <f t="array" ref="AN19">SUMPRODUCT((Application!$B$728:$B$752 = 'CalHFA Addendum'!AN$18)*(Application!$AH$728:$AH$752 = 'CalHFA Addendum'!$B19),Application!$G$728:$G$752)</f>
        <v>0</v>
      </c>
      <c r="AO19" s="2653"/>
      <c r="AP19" s="2653"/>
      <c r="AQ19" s="2653"/>
      <c r="AR19" s="2653"/>
      <c r="AS19" s="2654"/>
      <c r="AT19" s="2655">
        <f t="shared" ref="AT19:AT27" si="0">J19/$J$29</f>
        <v>0</v>
      </c>
      <c r="AU19" s="2656"/>
      <c r="AV19" s="2656"/>
      <c r="AW19" s="2656"/>
      <c r="AX19" s="2656"/>
      <c r="AY19" s="2657"/>
      <c r="AZ19" s="1535"/>
      <c r="BA19" s="1528"/>
      <c r="BB19" s="1528"/>
      <c r="BC19" s="1528"/>
      <c r="BD19" s="1528"/>
      <c r="BE19" s="1534"/>
    </row>
    <row r="20" spans="1:58" ht="15" customHeight="1">
      <c r="A20" s="1817"/>
      <c r="B20" s="2658">
        <v>0.3</v>
      </c>
      <c r="C20" s="2659"/>
      <c r="D20" s="2659"/>
      <c r="E20" s="2659"/>
      <c r="F20" s="2659"/>
      <c r="G20" s="2659"/>
      <c r="H20" s="2659"/>
      <c r="I20" s="2659"/>
      <c r="J20" s="2648">
        <f t="shared" ref="J20:J27" si="1">SUM(P20:AS20)</f>
        <v>88</v>
      </c>
      <c r="K20" s="2649"/>
      <c r="L20" s="2649"/>
      <c r="M20" s="2649"/>
      <c r="N20" s="2649"/>
      <c r="O20" s="2650"/>
      <c r="P20" s="2652" cm="1">
        <f t="array" ref="P20">SUMPRODUCT((Application!$B$728:$B$752 = 'CalHFA Addendum'!P$18)*(Application!$AH$728:$AH$752 = 'CalHFA Addendum'!$B20),Application!$G$728:$G$752)</f>
        <v>88</v>
      </c>
      <c r="Q20" s="2653"/>
      <c r="R20" s="2653"/>
      <c r="S20" s="2653"/>
      <c r="T20" s="2653"/>
      <c r="U20" s="2654"/>
      <c r="V20" s="2652" cm="1">
        <f t="array" ref="V20">SUMPRODUCT((Application!$B$728:$B$752 = 'CalHFA Addendum'!V$18)*(Application!$AH$728:$AH$752 = 'CalHFA Addendum'!$B20),Application!$G$728:$G$752)</f>
        <v>0</v>
      </c>
      <c r="W20" s="2653"/>
      <c r="X20" s="2653"/>
      <c r="Y20" s="2653"/>
      <c r="Z20" s="2653"/>
      <c r="AA20" s="2654"/>
      <c r="AB20" s="2652" cm="1">
        <f t="array" ref="AB20">SUMPRODUCT((Application!$B$728:$B$752 = 'CalHFA Addendum'!AB$18)*(Application!$AH$728:$AH$752 = 'CalHFA Addendum'!$B20),Application!$G$728:$G$752)</f>
        <v>0</v>
      </c>
      <c r="AC20" s="2653"/>
      <c r="AD20" s="2653"/>
      <c r="AE20" s="2653"/>
      <c r="AF20" s="2653"/>
      <c r="AG20" s="2654"/>
      <c r="AH20" s="2652" cm="1">
        <f t="array" ref="AH20">SUMPRODUCT((Application!$B$728:$B$752 = 'CalHFA Addendum'!AH$18)*(Application!$AH$728:$AH$752 = 'CalHFA Addendum'!$B20),Application!$G$728:$G$752)</f>
        <v>0</v>
      </c>
      <c r="AI20" s="2653"/>
      <c r="AJ20" s="2653"/>
      <c r="AK20" s="2653"/>
      <c r="AL20" s="2653"/>
      <c r="AM20" s="2654"/>
      <c r="AN20" s="2652" cm="1">
        <f t="array" ref="AN20">SUMPRODUCT((Application!$B$728:$B$752 = 'CalHFA Addendum'!AN$18)*(Application!$AH$728:$AH$752 = 'CalHFA Addendum'!$B20),Application!$G$728:$G$752)</f>
        <v>0</v>
      </c>
      <c r="AO20" s="2653"/>
      <c r="AP20" s="2653"/>
      <c r="AQ20" s="2653"/>
      <c r="AR20" s="2653"/>
      <c r="AS20" s="2654"/>
      <c r="AT20" s="2655">
        <f t="shared" si="0"/>
        <v>0.9887640449438202</v>
      </c>
      <c r="AU20" s="2656"/>
      <c r="AV20" s="2656"/>
      <c r="AW20" s="2656"/>
      <c r="AX20" s="2656"/>
      <c r="AY20" s="2657"/>
      <c r="AZ20" s="1528"/>
      <c r="BA20" s="1528"/>
      <c r="BB20" s="1528"/>
      <c r="BC20" s="1528"/>
      <c r="BD20" s="1528"/>
      <c r="BE20" s="1534"/>
    </row>
    <row r="21" spans="1:58" ht="14.5">
      <c r="A21" s="1817"/>
      <c r="B21" s="2658">
        <v>0.4</v>
      </c>
      <c r="C21" s="2659"/>
      <c r="D21" s="2659"/>
      <c r="E21" s="2659"/>
      <c r="F21" s="2659"/>
      <c r="G21" s="2659"/>
      <c r="H21" s="2659"/>
      <c r="I21" s="2659"/>
      <c r="J21" s="2648">
        <f t="shared" si="1"/>
        <v>0</v>
      </c>
      <c r="K21" s="2649"/>
      <c r="L21" s="2649"/>
      <c r="M21" s="2649"/>
      <c r="N21" s="2649"/>
      <c r="O21" s="2650"/>
      <c r="P21" s="2652" cm="1">
        <f t="array" ref="P21">SUMPRODUCT((Application!$B$728:$B$752 = 'CalHFA Addendum'!P$18)*(Application!$AH$728:$AH$752 = 'CalHFA Addendum'!$B21),Application!$G$728:$G$752)</f>
        <v>0</v>
      </c>
      <c r="Q21" s="2653"/>
      <c r="R21" s="2653"/>
      <c r="S21" s="2653"/>
      <c r="T21" s="2653"/>
      <c r="U21" s="2654"/>
      <c r="V21" s="2652" cm="1">
        <f t="array" ref="V21">SUMPRODUCT((Application!$B$728:$B$752 = 'CalHFA Addendum'!V$18)*(Application!$AH$728:$AH$752 = 'CalHFA Addendum'!$B21),Application!$G$728:$G$752)</f>
        <v>0</v>
      </c>
      <c r="W21" s="2653"/>
      <c r="X21" s="2653"/>
      <c r="Y21" s="2653"/>
      <c r="Z21" s="2653"/>
      <c r="AA21" s="2654"/>
      <c r="AB21" s="2652" cm="1">
        <f t="array" ref="AB21">SUMPRODUCT((Application!$B$728:$B$752 = 'CalHFA Addendum'!AB$18)*(Application!$AH$728:$AH$752 = 'CalHFA Addendum'!$B21),Application!$G$728:$G$752)</f>
        <v>0</v>
      </c>
      <c r="AC21" s="2653"/>
      <c r="AD21" s="2653"/>
      <c r="AE21" s="2653"/>
      <c r="AF21" s="2653"/>
      <c r="AG21" s="2654"/>
      <c r="AH21" s="2652" cm="1">
        <f t="array" ref="AH21">SUMPRODUCT((Application!$B$728:$B$752 = 'CalHFA Addendum'!AH$18)*(Application!$AH$728:$AH$752 = 'CalHFA Addendum'!$B21),Application!$G$728:$G$752)</f>
        <v>0</v>
      </c>
      <c r="AI21" s="2653"/>
      <c r="AJ21" s="2653"/>
      <c r="AK21" s="2653"/>
      <c r="AL21" s="2653"/>
      <c r="AM21" s="2654"/>
      <c r="AN21" s="2652" cm="1">
        <f t="array" ref="AN21">SUMPRODUCT((Application!$B$728:$B$752 = 'CalHFA Addendum'!AN$18)*(Application!$AH$728:$AH$752 = 'CalHFA Addendum'!$B21),Application!$G$728:$G$752)</f>
        <v>0</v>
      </c>
      <c r="AO21" s="2653"/>
      <c r="AP21" s="2653"/>
      <c r="AQ21" s="2653"/>
      <c r="AR21" s="2653"/>
      <c r="AS21" s="2654"/>
      <c r="AT21" s="2655">
        <f t="shared" si="0"/>
        <v>0</v>
      </c>
      <c r="AU21" s="2656"/>
      <c r="AV21" s="2656"/>
      <c r="AW21" s="2656"/>
      <c r="AX21" s="2656"/>
      <c r="AY21" s="2657"/>
      <c r="AZ21" s="1528"/>
      <c r="BA21" s="1528"/>
      <c r="BB21" s="1528"/>
      <c r="BC21" s="1528"/>
      <c r="BD21" s="1528"/>
      <c r="BE21" s="1534"/>
    </row>
    <row r="22" spans="1:58" ht="14.5">
      <c r="A22" s="1817"/>
      <c r="B22" s="2658">
        <v>0.5</v>
      </c>
      <c r="C22" s="2659"/>
      <c r="D22" s="2659"/>
      <c r="E22" s="2659"/>
      <c r="F22" s="2659"/>
      <c r="G22" s="2659"/>
      <c r="H22" s="2659"/>
      <c r="I22" s="2659"/>
      <c r="J22" s="2648">
        <f t="shared" si="1"/>
        <v>0</v>
      </c>
      <c r="K22" s="2649"/>
      <c r="L22" s="2649"/>
      <c r="M22" s="2649"/>
      <c r="N22" s="2649"/>
      <c r="O22" s="2650"/>
      <c r="P22" s="2652" cm="1">
        <f t="array" ref="P22">SUMPRODUCT((Application!$B$728:$B$752 = 'CalHFA Addendum'!P$18)*(Application!$AH$728:$AH$752 = 'CalHFA Addendum'!$B22),Application!$G$728:$G$752)</f>
        <v>0</v>
      </c>
      <c r="Q22" s="2653"/>
      <c r="R22" s="2653"/>
      <c r="S22" s="2653"/>
      <c r="T22" s="2653"/>
      <c r="U22" s="2654"/>
      <c r="V22" s="2652" cm="1">
        <f t="array" ref="V22">SUMPRODUCT((Application!$B$728:$B$752 = 'CalHFA Addendum'!V$18)*(Application!$AH$728:$AH$752 = 'CalHFA Addendum'!$B22),Application!$G$728:$G$752)</f>
        <v>0</v>
      </c>
      <c r="W22" s="2653"/>
      <c r="X22" s="2653"/>
      <c r="Y22" s="2653"/>
      <c r="Z22" s="2653"/>
      <c r="AA22" s="2654"/>
      <c r="AB22" s="2652" cm="1">
        <f t="array" ref="AB22">SUMPRODUCT((Application!$B$728:$B$752 = 'CalHFA Addendum'!AB$18)*(Application!$AH$728:$AH$752 = 'CalHFA Addendum'!$B22),Application!$G$728:$G$752)</f>
        <v>0</v>
      </c>
      <c r="AC22" s="2653"/>
      <c r="AD22" s="2653"/>
      <c r="AE22" s="2653"/>
      <c r="AF22" s="2653"/>
      <c r="AG22" s="2654"/>
      <c r="AH22" s="2652" cm="1">
        <f t="array" ref="AH22">SUMPRODUCT((Application!$B$728:$B$752 = 'CalHFA Addendum'!AH$18)*(Application!$AH$728:$AH$752 = 'CalHFA Addendum'!$B22),Application!$G$728:$G$752)</f>
        <v>0</v>
      </c>
      <c r="AI22" s="2653"/>
      <c r="AJ22" s="2653"/>
      <c r="AK22" s="2653"/>
      <c r="AL22" s="2653"/>
      <c r="AM22" s="2654"/>
      <c r="AN22" s="2652" cm="1">
        <f t="array" ref="AN22">SUMPRODUCT((Application!$B$728:$B$752 = 'CalHFA Addendum'!AN$18)*(Application!$AH$728:$AH$752 = 'CalHFA Addendum'!$B22),Application!$G$728:$G$752)</f>
        <v>0</v>
      </c>
      <c r="AO22" s="2653"/>
      <c r="AP22" s="2653"/>
      <c r="AQ22" s="2653"/>
      <c r="AR22" s="2653"/>
      <c r="AS22" s="2654"/>
      <c r="AT22" s="2655">
        <f t="shared" si="0"/>
        <v>0</v>
      </c>
      <c r="AU22" s="2656"/>
      <c r="AV22" s="2656"/>
      <c r="AW22" s="2656"/>
      <c r="AX22" s="2656"/>
      <c r="AY22" s="2657"/>
      <c r="AZ22" s="1528"/>
      <c r="BA22" s="1528"/>
      <c r="BB22" s="1528"/>
      <c r="BC22" s="1528"/>
      <c r="BD22" s="1528"/>
      <c r="BE22" s="1534"/>
    </row>
    <row r="23" spans="1:58" ht="14.5">
      <c r="A23" s="1817"/>
      <c r="B23" s="2658">
        <v>0.6</v>
      </c>
      <c r="C23" s="2659"/>
      <c r="D23" s="2659"/>
      <c r="E23" s="2659"/>
      <c r="F23" s="2659"/>
      <c r="G23" s="2659"/>
      <c r="H23" s="2659"/>
      <c r="I23" s="2659"/>
      <c r="J23" s="2648">
        <f t="shared" si="1"/>
        <v>0</v>
      </c>
      <c r="K23" s="2649"/>
      <c r="L23" s="2649"/>
      <c r="M23" s="2649"/>
      <c r="N23" s="2649"/>
      <c r="O23" s="2650"/>
      <c r="P23" s="2652" cm="1">
        <f t="array" ref="P23">SUMPRODUCT((Application!$B$728:$B$752 = 'CalHFA Addendum'!P$18)*(Application!$AH$728:$AH$752 = 'CalHFA Addendum'!$B23),Application!$G$728:$G$752)</f>
        <v>0</v>
      </c>
      <c r="Q23" s="2653"/>
      <c r="R23" s="2653"/>
      <c r="S23" s="2653"/>
      <c r="T23" s="2653"/>
      <c r="U23" s="2654"/>
      <c r="V23" s="2652" cm="1">
        <f t="array" ref="V23">SUMPRODUCT((Application!$B$728:$B$752 = 'CalHFA Addendum'!V$18)*(Application!$AH$728:$AH$752 = 'CalHFA Addendum'!$B23),Application!$G$728:$G$752)</f>
        <v>0</v>
      </c>
      <c r="W23" s="2653"/>
      <c r="X23" s="2653"/>
      <c r="Y23" s="2653"/>
      <c r="Z23" s="2653"/>
      <c r="AA23" s="2654"/>
      <c r="AB23" s="2652" cm="1">
        <f t="array" ref="AB23">SUMPRODUCT((Application!$B$728:$B$752 = 'CalHFA Addendum'!AB$18)*(Application!$AH$728:$AH$752 = 'CalHFA Addendum'!$B23),Application!$G$728:$G$752)</f>
        <v>0</v>
      </c>
      <c r="AC23" s="2653"/>
      <c r="AD23" s="2653"/>
      <c r="AE23" s="2653"/>
      <c r="AF23" s="2653"/>
      <c r="AG23" s="2654"/>
      <c r="AH23" s="2652" cm="1">
        <f t="array" ref="AH23">SUMPRODUCT((Application!$B$728:$B$752 = 'CalHFA Addendum'!AH$18)*(Application!$AH$728:$AH$752 = 'CalHFA Addendum'!$B23),Application!$G$728:$G$752)</f>
        <v>0</v>
      </c>
      <c r="AI23" s="2653"/>
      <c r="AJ23" s="2653"/>
      <c r="AK23" s="2653"/>
      <c r="AL23" s="2653"/>
      <c r="AM23" s="2654"/>
      <c r="AN23" s="2652" cm="1">
        <f t="array" ref="AN23">SUMPRODUCT((Application!$B$728:$B$752 = 'CalHFA Addendum'!AN$18)*(Application!$AH$728:$AH$752 = 'CalHFA Addendum'!$B23),Application!$G$728:$G$752)</f>
        <v>0</v>
      </c>
      <c r="AO23" s="2653"/>
      <c r="AP23" s="2653"/>
      <c r="AQ23" s="2653"/>
      <c r="AR23" s="2653"/>
      <c r="AS23" s="2654"/>
      <c r="AT23" s="2655">
        <f t="shared" si="0"/>
        <v>0</v>
      </c>
      <c r="AU23" s="2656"/>
      <c r="AV23" s="2656"/>
      <c r="AW23" s="2656"/>
      <c r="AX23" s="2656"/>
      <c r="AY23" s="2657"/>
      <c r="AZ23" s="1528"/>
      <c r="BA23" s="1528"/>
      <c r="BB23" s="1528"/>
      <c r="BC23" s="1528"/>
      <c r="BD23" s="1528"/>
      <c r="BE23" s="1534"/>
    </row>
    <row r="24" spans="1:58" ht="14.5">
      <c r="A24" s="1817"/>
      <c r="B24" s="2658">
        <v>0.7</v>
      </c>
      <c r="C24" s="2659"/>
      <c r="D24" s="2659"/>
      <c r="E24" s="2659"/>
      <c r="F24" s="2659"/>
      <c r="G24" s="2659"/>
      <c r="H24" s="2659"/>
      <c r="I24" s="2659"/>
      <c r="J24" s="2648">
        <f t="shared" si="1"/>
        <v>0</v>
      </c>
      <c r="K24" s="2649"/>
      <c r="L24" s="2649"/>
      <c r="M24" s="2649"/>
      <c r="N24" s="2649"/>
      <c r="O24" s="2650"/>
      <c r="P24" s="2652" cm="1">
        <f t="array" ref="P24">SUMPRODUCT((Application!$B$728:$B$752 = 'CalHFA Addendum'!P$18)*(Application!$AH$728:$AH$752 = 'CalHFA Addendum'!$B24),Application!$G$728:$G$752)</f>
        <v>0</v>
      </c>
      <c r="Q24" s="2653"/>
      <c r="R24" s="2653"/>
      <c r="S24" s="2653"/>
      <c r="T24" s="2653"/>
      <c r="U24" s="2654"/>
      <c r="V24" s="2652" cm="1">
        <f t="array" ref="V24">SUMPRODUCT((Application!$B$728:$B$752 = 'CalHFA Addendum'!V$18)*(Application!$AH$728:$AH$752 = 'CalHFA Addendum'!$B24),Application!$G$728:$G$752)</f>
        <v>0</v>
      </c>
      <c r="W24" s="2653"/>
      <c r="X24" s="2653"/>
      <c r="Y24" s="2653"/>
      <c r="Z24" s="2653"/>
      <c r="AA24" s="2654"/>
      <c r="AB24" s="2652" cm="1">
        <f t="array" ref="AB24">SUMPRODUCT((Application!$B$728:$B$752 = 'CalHFA Addendum'!AB$18)*(Application!$AH$728:$AH$752 = 'CalHFA Addendum'!$B24),Application!$G$728:$G$752)</f>
        <v>0</v>
      </c>
      <c r="AC24" s="2653"/>
      <c r="AD24" s="2653"/>
      <c r="AE24" s="2653"/>
      <c r="AF24" s="2653"/>
      <c r="AG24" s="2654"/>
      <c r="AH24" s="2652" cm="1">
        <f t="array" ref="AH24">SUMPRODUCT((Application!$B$728:$B$752 = 'CalHFA Addendum'!AH$18)*(Application!$AH$728:$AH$752 = 'CalHFA Addendum'!$B24),Application!$G$728:$G$752)</f>
        <v>0</v>
      </c>
      <c r="AI24" s="2653"/>
      <c r="AJ24" s="2653"/>
      <c r="AK24" s="2653"/>
      <c r="AL24" s="2653"/>
      <c r="AM24" s="2654"/>
      <c r="AN24" s="2652" cm="1">
        <f t="array" ref="AN24">SUMPRODUCT((Application!$B$728:$B$752 = 'CalHFA Addendum'!AN$18)*(Application!$AH$728:$AH$752 = 'CalHFA Addendum'!$B24),Application!$G$728:$G$752)</f>
        <v>0</v>
      </c>
      <c r="AO24" s="2653"/>
      <c r="AP24" s="2653"/>
      <c r="AQ24" s="2653"/>
      <c r="AR24" s="2653"/>
      <c r="AS24" s="2654"/>
      <c r="AT24" s="2655">
        <f t="shared" si="0"/>
        <v>0</v>
      </c>
      <c r="AU24" s="2656"/>
      <c r="AV24" s="2656"/>
      <c r="AW24" s="2656"/>
      <c r="AX24" s="2656"/>
      <c r="AY24" s="2657"/>
      <c r="AZ24" s="1528"/>
      <c r="BA24" s="1528"/>
      <c r="BB24" s="1528"/>
      <c r="BC24" s="1528"/>
      <c r="BD24" s="1528"/>
      <c r="BE24" s="1534"/>
    </row>
    <row r="25" spans="1:58" ht="14.5">
      <c r="A25" s="1817"/>
      <c r="B25" s="2658">
        <v>0.8</v>
      </c>
      <c r="C25" s="2659"/>
      <c r="D25" s="2659"/>
      <c r="E25" s="2659"/>
      <c r="F25" s="2659"/>
      <c r="G25" s="2659"/>
      <c r="H25" s="2659"/>
      <c r="I25" s="2659"/>
      <c r="J25" s="2648">
        <f t="shared" si="1"/>
        <v>0</v>
      </c>
      <c r="K25" s="2649"/>
      <c r="L25" s="2649"/>
      <c r="M25" s="2649"/>
      <c r="N25" s="2649"/>
      <c r="O25" s="2650"/>
      <c r="P25" s="2652" cm="1">
        <f t="array" ref="P25">SUMPRODUCT((Application!$B$728:$B$752 = 'CalHFA Addendum'!P$18)*(Application!$AH$728:$AH$752 = 'CalHFA Addendum'!$B25),Application!$G$728:$G$752)</f>
        <v>0</v>
      </c>
      <c r="Q25" s="2653"/>
      <c r="R25" s="2653"/>
      <c r="S25" s="2653"/>
      <c r="T25" s="2653"/>
      <c r="U25" s="2654"/>
      <c r="V25" s="2652" cm="1">
        <f t="array" ref="V25">SUMPRODUCT((Application!$B$728:$B$752 = 'CalHFA Addendum'!V$18)*(Application!$AH$728:$AH$752 = 'CalHFA Addendum'!$B25),Application!$G$728:$G$752)</f>
        <v>0</v>
      </c>
      <c r="W25" s="2653"/>
      <c r="X25" s="2653"/>
      <c r="Y25" s="2653"/>
      <c r="Z25" s="2653"/>
      <c r="AA25" s="2654"/>
      <c r="AB25" s="2652" cm="1">
        <f t="array" ref="AB25">SUMPRODUCT((Application!$B$728:$B$752 = 'CalHFA Addendum'!AB$18)*(Application!$AH$728:$AH$752 = 'CalHFA Addendum'!$B25),Application!$G$728:$G$752)</f>
        <v>0</v>
      </c>
      <c r="AC25" s="2653"/>
      <c r="AD25" s="2653"/>
      <c r="AE25" s="2653"/>
      <c r="AF25" s="2653"/>
      <c r="AG25" s="2654"/>
      <c r="AH25" s="2652" cm="1">
        <f t="array" ref="AH25">SUMPRODUCT((Application!$B$728:$B$752 = 'CalHFA Addendum'!AH$18)*(Application!$AH$728:$AH$752 = 'CalHFA Addendum'!$B25),Application!$G$728:$G$752)</f>
        <v>0</v>
      </c>
      <c r="AI25" s="2653"/>
      <c r="AJ25" s="2653"/>
      <c r="AK25" s="2653"/>
      <c r="AL25" s="2653"/>
      <c r="AM25" s="2654"/>
      <c r="AN25" s="2652" cm="1">
        <f t="array" ref="AN25">SUMPRODUCT((Application!$B$728:$B$752 = 'CalHFA Addendum'!AN$18)*(Application!$AH$728:$AH$752 = 'CalHFA Addendum'!$B25),Application!$G$728:$G$752)</f>
        <v>0</v>
      </c>
      <c r="AO25" s="2653"/>
      <c r="AP25" s="2653"/>
      <c r="AQ25" s="2653"/>
      <c r="AR25" s="2653"/>
      <c r="AS25" s="2654"/>
      <c r="AT25" s="2655">
        <f t="shared" si="0"/>
        <v>0</v>
      </c>
      <c r="AU25" s="2656"/>
      <c r="AV25" s="2656"/>
      <c r="AW25" s="2656"/>
      <c r="AX25" s="2656"/>
      <c r="AY25" s="2657"/>
      <c r="AZ25" s="1528"/>
      <c r="BA25" s="1528"/>
      <c r="BB25" s="1528"/>
      <c r="BC25" s="1528"/>
      <c r="BD25" s="1528"/>
      <c r="BE25" s="1534"/>
    </row>
    <row r="26" spans="1:58" ht="14.5">
      <c r="A26" s="1817"/>
      <c r="B26" s="2658">
        <v>0.9</v>
      </c>
      <c r="C26" s="2659"/>
      <c r="D26" s="2659"/>
      <c r="E26" s="2659"/>
      <c r="F26" s="2659"/>
      <c r="G26" s="2659"/>
      <c r="H26" s="2659"/>
      <c r="I26" s="2659"/>
      <c r="J26" s="2648">
        <f t="shared" si="1"/>
        <v>0</v>
      </c>
      <c r="K26" s="2649"/>
      <c r="L26" s="2649"/>
      <c r="M26" s="2649"/>
      <c r="N26" s="2649"/>
      <c r="O26" s="2650"/>
      <c r="P26" s="2652" cm="1">
        <f t="array" ref="P26">SUMPRODUCT((Application!$B$728:$B$752 = 'CalHFA Addendum'!P$18)*(Application!$AH$728:$AH$752 = 'CalHFA Addendum'!$B26),Application!$G$728:$G$752)</f>
        <v>0</v>
      </c>
      <c r="Q26" s="2653"/>
      <c r="R26" s="2653"/>
      <c r="S26" s="2653"/>
      <c r="T26" s="2653"/>
      <c r="U26" s="2654"/>
      <c r="V26" s="2652" cm="1">
        <f t="array" ref="V26">SUMPRODUCT((Application!$B$728:$B$752 = 'CalHFA Addendum'!V$18)*(Application!$AH$728:$AH$752 = 'CalHFA Addendum'!$B26),Application!$G$728:$G$752)</f>
        <v>0</v>
      </c>
      <c r="W26" s="2653"/>
      <c r="X26" s="2653"/>
      <c r="Y26" s="2653"/>
      <c r="Z26" s="2653"/>
      <c r="AA26" s="2654"/>
      <c r="AB26" s="2652" cm="1">
        <f t="array" ref="AB26">SUMPRODUCT((Application!$B$728:$B$752 = 'CalHFA Addendum'!AB$18)*(Application!$AH$728:$AH$752 = 'CalHFA Addendum'!$B26),Application!$G$728:$G$752)</f>
        <v>0</v>
      </c>
      <c r="AC26" s="2653"/>
      <c r="AD26" s="2653"/>
      <c r="AE26" s="2653"/>
      <c r="AF26" s="2653"/>
      <c r="AG26" s="2654"/>
      <c r="AH26" s="2652" cm="1">
        <f t="array" ref="AH26">SUMPRODUCT((Application!$B$728:$B$752 = 'CalHFA Addendum'!AH$18)*(Application!$AH$728:$AH$752 = 'CalHFA Addendum'!$B26),Application!$G$728:$G$752)</f>
        <v>0</v>
      </c>
      <c r="AI26" s="2653"/>
      <c r="AJ26" s="2653"/>
      <c r="AK26" s="2653"/>
      <c r="AL26" s="2653"/>
      <c r="AM26" s="2654"/>
      <c r="AN26" s="2652" cm="1">
        <f t="array" ref="AN26">SUMPRODUCT((Application!$B$728:$B$752 = 'CalHFA Addendum'!AN$18)*(Application!$AH$728:$AH$752 = 'CalHFA Addendum'!$B26),Application!$G$728:$G$752)</f>
        <v>0</v>
      </c>
      <c r="AO26" s="2653"/>
      <c r="AP26" s="2653"/>
      <c r="AQ26" s="2653"/>
      <c r="AR26" s="2653"/>
      <c r="AS26" s="2654"/>
      <c r="AT26" s="2655">
        <f t="shared" si="0"/>
        <v>0</v>
      </c>
      <c r="AU26" s="2656"/>
      <c r="AV26" s="2656"/>
      <c r="AW26" s="2656"/>
      <c r="AX26" s="2656"/>
      <c r="AY26" s="2657"/>
      <c r="AZ26" s="1528"/>
      <c r="BA26" s="1528"/>
      <c r="BB26" s="1528"/>
      <c r="BC26" s="1528"/>
      <c r="BD26" s="1528"/>
      <c r="BE26" s="1534"/>
    </row>
    <row r="27" spans="1:58" ht="14.5">
      <c r="A27" s="1817"/>
      <c r="B27" s="2658">
        <v>1</v>
      </c>
      <c r="C27" s="2659"/>
      <c r="D27" s="2659"/>
      <c r="E27" s="2659"/>
      <c r="F27" s="2659"/>
      <c r="G27" s="2659"/>
      <c r="H27" s="2659"/>
      <c r="I27" s="2659"/>
      <c r="J27" s="2648">
        <f t="shared" si="1"/>
        <v>0</v>
      </c>
      <c r="K27" s="2649"/>
      <c r="L27" s="2649"/>
      <c r="M27" s="2649"/>
      <c r="N27" s="2649"/>
      <c r="O27" s="2650"/>
      <c r="P27" s="2652" cm="1">
        <f t="array" ref="P27">SUMPRODUCT((Application!$B$728:$B$752 = 'CalHFA Addendum'!P$18)*(Application!$AH$728:$AH$752 = 'CalHFA Addendum'!$B27),Application!$G$728:$G$752)</f>
        <v>0</v>
      </c>
      <c r="Q27" s="2653"/>
      <c r="R27" s="2653"/>
      <c r="S27" s="2653"/>
      <c r="T27" s="2653"/>
      <c r="U27" s="2654"/>
      <c r="V27" s="2652" cm="1">
        <f t="array" ref="V27">SUMPRODUCT((Application!$B$728:$B$752 = 'CalHFA Addendum'!V$18)*(Application!$AH$728:$AH$752 = 'CalHFA Addendum'!$B27),Application!$G$728:$G$752)</f>
        <v>0</v>
      </c>
      <c r="W27" s="2653"/>
      <c r="X27" s="2653"/>
      <c r="Y27" s="2653"/>
      <c r="Z27" s="2653"/>
      <c r="AA27" s="2654"/>
      <c r="AB27" s="2652" cm="1">
        <f t="array" ref="AB27">SUMPRODUCT((Application!$B$728:$B$752 = 'CalHFA Addendum'!AB$18)*(Application!$AH$728:$AH$752 = 'CalHFA Addendum'!$B27),Application!$G$728:$G$752)</f>
        <v>0</v>
      </c>
      <c r="AC27" s="2653"/>
      <c r="AD27" s="2653"/>
      <c r="AE27" s="2653"/>
      <c r="AF27" s="2653"/>
      <c r="AG27" s="2654"/>
      <c r="AH27" s="2652" cm="1">
        <f t="array" ref="AH27">SUMPRODUCT((Application!$B$728:$B$752 = 'CalHFA Addendum'!AH$18)*(Application!$AH$728:$AH$752 = 'CalHFA Addendum'!$B27),Application!$G$728:$G$752)</f>
        <v>0</v>
      </c>
      <c r="AI27" s="2653"/>
      <c r="AJ27" s="2653"/>
      <c r="AK27" s="2653"/>
      <c r="AL27" s="2653"/>
      <c r="AM27" s="2654"/>
      <c r="AN27" s="2652" cm="1">
        <f t="array" ref="AN27">SUMPRODUCT((Application!$B$728:$B$752 = 'CalHFA Addendum'!AN$18)*(Application!$AH$728:$AH$752 = 'CalHFA Addendum'!$B27),Application!$G$728:$G$752)</f>
        <v>0</v>
      </c>
      <c r="AO27" s="2653"/>
      <c r="AP27" s="2653"/>
      <c r="AQ27" s="2653"/>
      <c r="AR27" s="2653"/>
      <c r="AS27" s="2654"/>
      <c r="AT27" s="2655">
        <f t="shared" si="0"/>
        <v>0</v>
      </c>
      <c r="AU27" s="2656"/>
      <c r="AV27" s="2656"/>
      <c r="AW27" s="2656"/>
      <c r="AX27" s="2656"/>
      <c r="AY27" s="2657"/>
      <c r="AZ27" s="1528"/>
      <c r="BA27" s="1528"/>
      <c r="BB27" s="1528"/>
      <c r="BC27" s="1528"/>
      <c r="BD27" s="1528"/>
      <c r="BE27" s="1534"/>
      <c r="BF27" s="1699"/>
    </row>
    <row r="28" spans="1:58" ht="15" thickBot="1">
      <c r="A28" s="1817"/>
      <c r="B28" s="2670" t="s">
        <v>2048</v>
      </c>
      <c r="C28" s="2671"/>
      <c r="D28" s="2671"/>
      <c r="E28" s="2671"/>
      <c r="F28" s="2671"/>
      <c r="G28" s="2671"/>
      <c r="H28" s="2671"/>
      <c r="I28" s="2672"/>
      <c r="J28" s="2648">
        <f t="shared" ref="J28" si="2">SUM(P28:AS28)</f>
        <v>1</v>
      </c>
      <c r="K28" s="2649"/>
      <c r="L28" s="2649"/>
      <c r="M28" s="2649"/>
      <c r="N28" s="2649"/>
      <c r="O28" s="2650"/>
      <c r="P28" s="2660">
        <f>_xlfn.IFNA(VLOOKUP(P$18,Application!$J$772:$S$775,6,FALSE), 0)</f>
        <v>0</v>
      </c>
      <c r="Q28" s="2661"/>
      <c r="R28" s="2661"/>
      <c r="S28" s="2661"/>
      <c r="T28" s="2661"/>
      <c r="U28" s="2662"/>
      <c r="V28" s="2660">
        <f>_xlfn.IFNA(VLOOKUP(V$18,Application!$J$772:$S$775,6,FALSE), 0)</f>
        <v>0</v>
      </c>
      <c r="W28" s="2661"/>
      <c r="X28" s="2661"/>
      <c r="Y28" s="2661"/>
      <c r="Z28" s="2661"/>
      <c r="AA28" s="2662"/>
      <c r="AB28" s="2660">
        <f>_xlfn.IFNA(VLOOKUP(AB$18,Application!$J$772:$S$775,6,FALSE), 0)</f>
        <v>1</v>
      </c>
      <c r="AC28" s="2661"/>
      <c r="AD28" s="2661"/>
      <c r="AE28" s="2661"/>
      <c r="AF28" s="2661"/>
      <c r="AG28" s="2662"/>
      <c r="AH28" s="2660">
        <f>_xlfn.IFNA(VLOOKUP(AH$18,Application!$J$772:$S$775,6,FALSE), 0)</f>
        <v>0</v>
      </c>
      <c r="AI28" s="2661"/>
      <c r="AJ28" s="2661"/>
      <c r="AK28" s="2661"/>
      <c r="AL28" s="2661"/>
      <c r="AM28" s="2662"/>
      <c r="AN28" s="2660">
        <f>_xlfn.IFNA(VLOOKUP(AN$18,Application!$J$772:$S$775,6,FALSE), 0)</f>
        <v>0</v>
      </c>
      <c r="AO28" s="2661"/>
      <c r="AP28" s="2661"/>
      <c r="AQ28" s="2661"/>
      <c r="AR28" s="2661"/>
      <c r="AS28" s="2662"/>
      <c r="AT28" s="2655">
        <f t="shared" ref="AT28" si="3">J28/$J$29</f>
        <v>1.1235955056179775E-2</v>
      </c>
      <c r="AU28" s="2656"/>
      <c r="AV28" s="2656"/>
      <c r="AW28" s="2656"/>
      <c r="AX28" s="2656"/>
      <c r="AY28" s="2657"/>
      <c r="AZ28" s="1528"/>
      <c r="BA28" s="1528"/>
      <c r="BB28" s="1528"/>
      <c r="BC28" s="1528"/>
      <c r="BD28" s="1528"/>
      <c r="BE28" s="1534"/>
    </row>
    <row r="29" spans="1:58" ht="15" thickBot="1">
      <c r="A29" s="1817"/>
      <c r="B29" s="2663" t="s">
        <v>1878</v>
      </c>
      <c r="C29" s="2664"/>
      <c r="D29" s="2664"/>
      <c r="E29" s="2664"/>
      <c r="F29" s="2664"/>
      <c r="G29" s="2664"/>
      <c r="H29" s="2664"/>
      <c r="I29" s="2665"/>
      <c r="J29" s="2666">
        <f>SUM(J19:O28)</f>
        <v>89</v>
      </c>
      <c r="K29" s="2664"/>
      <c r="L29" s="2664"/>
      <c r="M29" s="2664"/>
      <c r="N29" s="2664"/>
      <c r="O29" s="2665"/>
      <c r="P29" s="2666">
        <f>SUM(P19:U28)</f>
        <v>88</v>
      </c>
      <c r="Q29" s="2664"/>
      <c r="R29" s="2664"/>
      <c r="S29" s="2664"/>
      <c r="T29" s="2664"/>
      <c r="U29" s="2665"/>
      <c r="V29" s="2666">
        <f>SUM(V19:AA28)</f>
        <v>0</v>
      </c>
      <c r="W29" s="2664"/>
      <c r="X29" s="2664"/>
      <c r="Y29" s="2664"/>
      <c r="Z29" s="2664"/>
      <c r="AA29" s="2665"/>
      <c r="AB29" s="2666">
        <f>SUM(AB19:AG28)</f>
        <v>1</v>
      </c>
      <c r="AC29" s="2664"/>
      <c r="AD29" s="2664"/>
      <c r="AE29" s="2664"/>
      <c r="AF29" s="2664"/>
      <c r="AG29" s="2665"/>
      <c r="AH29" s="2666">
        <f>SUM(AH19:AM28)</f>
        <v>0</v>
      </c>
      <c r="AI29" s="2664"/>
      <c r="AJ29" s="2664"/>
      <c r="AK29" s="2664"/>
      <c r="AL29" s="2664"/>
      <c r="AM29" s="2665"/>
      <c r="AN29" s="2666">
        <f>SUM(AN19:AS28)</f>
        <v>0</v>
      </c>
      <c r="AO29" s="2664"/>
      <c r="AP29" s="2664"/>
      <c r="AQ29" s="2664"/>
      <c r="AR29" s="2664"/>
      <c r="AS29" s="2665"/>
      <c r="AT29" s="2667">
        <f>J29/$J$29</f>
        <v>1</v>
      </c>
      <c r="AU29" s="2668"/>
      <c r="AV29" s="2668"/>
      <c r="AW29" s="2668"/>
      <c r="AX29" s="2668"/>
      <c r="AY29" s="2669"/>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73" t="s">
        <v>2049</v>
      </c>
      <c r="C31" s="2674"/>
      <c r="D31" s="2674"/>
      <c r="E31" s="2674"/>
      <c r="F31" s="2674"/>
      <c r="G31" s="2674"/>
      <c r="H31" s="2674"/>
      <c r="I31" s="2674"/>
      <c r="J31" s="2674"/>
      <c r="K31" s="2674"/>
      <c r="L31" s="2674"/>
      <c r="M31" s="2674"/>
      <c r="N31" s="2674"/>
      <c r="O31" s="2674"/>
      <c r="P31" s="2674"/>
      <c r="Q31" s="2674"/>
      <c r="R31" s="2674"/>
      <c r="S31" s="2674"/>
      <c r="T31" s="2674"/>
      <c r="U31" s="2674"/>
      <c r="V31" s="2674"/>
      <c r="W31" s="2674"/>
      <c r="X31" s="2674"/>
      <c r="Y31" s="2674"/>
      <c r="Z31" s="2674"/>
      <c r="AA31" s="2674"/>
      <c r="AB31" s="2674"/>
      <c r="AC31" s="2674"/>
      <c r="AD31" s="2674"/>
      <c r="AE31" s="2674"/>
      <c r="AF31" s="2674"/>
      <c r="AG31" s="2674"/>
      <c r="AH31" s="2674"/>
      <c r="AI31" s="2674"/>
      <c r="AJ31" s="2674"/>
      <c r="AK31" s="2674"/>
      <c r="AL31" s="2674"/>
      <c r="AM31" s="2674"/>
      <c r="AN31" s="2674"/>
      <c r="AO31" s="2674"/>
      <c r="AP31" s="2674"/>
      <c r="AQ31" s="2674"/>
      <c r="AR31" s="2674"/>
      <c r="AS31" s="2674"/>
      <c r="AT31" s="2674"/>
      <c r="AU31" s="2674"/>
      <c r="AV31" s="2674"/>
      <c r="AW31" s="2674"/>
      <c r="AX31" s="2674"/>
      <c r="AY31" s="2674"/>
      <c r="AZ31" s="2675"/>
      <c r="BA31" s="1528"/>
      <c r="BB31" s="1528"/>
      <c r="BC31" s="1528"/>
      <c r="BD31" s="1528"/>
      <c r="BE31" s="1534"/>
    </row>
    <row r="32" spans="1:58" ht="15" thickBot="1">
      <c r="A32" s="1817"/>
      <c r="B32" s="2676" t="s">
        <v>2050</v>
      </c>
      <c r="C32" s="2677"/>
      <c r="D32" s="2677"/>
      <c r="E32" s="2677"/>
      <c r="F32" s="2677"/>
      <c r="G32" s="2677"/>
      <c r="H32" s="2677"/>
      <c r="I32" s="2678"/>
      <c r="J32" s="2680" t="s">
        <v>2051</v>
      </c>
      <c r="K32" s="2681"/>
      <c r="L32" s="2681"/>
      <c r="M32" s="2682"/>
      <c r="N32" s="2680" t="s">
        <v>2052</v>
      </c>
      <c r="O32" s="2681"/>
      <c r="P32" s="2681"/>
      <c r="Q32" s="2681"/>
      <c r="R32" s="2684" t="s">
        <v>2053</v>
      </c>
      <c r="S32" s="2685"/>
      <c r="T32" s="2685"/>
      <c r="U32" s="2685"/>
      <c r="V32" s="2685"/>
      <c r="W32" s="2685"/>
      <c r="X32" s="2685"/>
      <c r="Y32" s="2685"/>
      <c r="Z32" s="2685"/>
      <c r="AA32" s="2685"/>
      <c r="AB32" s="2685"/>
      <c r="AC32" s="2685"/>
      <c r="AD32" s="2685"/>
      <c r="AE32" s="2685"/>
      <c r="AF32" s="2685"/>
      <c r="AG32" s="2685"/>
      <c r="AH32" s="2685"/>
      <c r="AI32" s="2685"/>
      <c r="AJ32" s="2685"/>
      <c r="AK32" s="2685"/>
      <c r="AL32" s="2685"/>
      <c r="AM32" s="2685"/>
      <c r="AN32" s="2685"/>
      <c r="AO32" s="2685"/>
      <c r="AP32" s="2685"/>
      <c r="AQ32" s="2685"/>
      <c r="AR32" s="2685"/>
      <c r="AS32" s="2685"/>
      <c r="AT32" s="2685"/>
      <c r="AU32" s="2685"/>
      <c r="AV32" s="2685"/>
      <c r="AW32" s="2685"/>
      <c r="AX32" s="2685"/>
      <c r="AY32" s="2685"/>
      <c r="AZ32" s="2686"/>
      <c r="BA32" s="1528"/>
      <c r="BB32" s="1528"/>
      <c r="BC32" s="1528"/>
      <c r="BD32" s="1528"/>
      <c r="BE32" s="1534"/>
    </row>
    <row r="33" spans="1:58" ht="15" customHeight="1">
      <c r="A33" s="1817"/>
      <c r="B33" s="2679"/>
      <c r="C33" s="2677"/>
      <c r="D33" s="2677"/>
      <c r="E33" s="2677"/>
      <c r="F33" s="2677"/>
      <c r="G33" s="2677"/>
      <c r="H33" s="2677"/>
      <c r="I33" s="2678"/>
      <c r="J33" s="2683"/>
      <c r="K33" s="2681"/>
      <c r="L33" s="2681"/>
      <c r="M33" s="2682"/>
      <c r="N33" s="2683"/>
      <c r="O33" s="2681"/>
      <c r="P33" s="2681"/>
      <c r="Q33" s="2681"/>
      <c r="R33" s="2687" t="s">
        <v>2054</v>
      </c>
      <c r="S33" s="2688"/>
      <c r="T33" s="2688"/>
      <c r="U33" s="2688"/>
      <c r="V33" s="2688"/>
      <c r="W33" s="2688"/>
      <c r="X33" s="2688"/>
      <c r="Y33" s="2688"/>
      <c r="Z33" s="2688"/>
      <c r="AA33" s="2688"/>
      <c r="AB33" s="2688"/>
      <c r="AC33" s="2688"/>
      <c r="AD33" s="2688"/>
      <c r="AE33" s="2688"/>
      <c r="AF33" s="2688"/>
      <c r="AG33" s="2688"/>
      <c r="AH33" s="2688"/>
      <c r="AI33" s="2688"/>
      <c r="AJ33" s="2688"/>
      <c r="AK33" s="2688"/>
      <c r="AL33" s="2688"/>
      <c r="AM33" s="2688"/>
      <c r="AN33" s="2688"/>
      <c r="AO33" s="2688"/>
      <c r="AP33" s="2688"/>
      <c r="AQ33" s="2688"/>
      <c r="AR33" s="2688"/>
      <c r="AS33" s="2688"/>
      <c r="AT33" s="2688"/>
      <c r="AU33" s="2688"/>
      <c r="AV33" s="2688"/>
      <c r="AW33" s="2688"/>
      <c r="AX33" s="2688"/>
      <c r="AY33" s="2688"/>
      <c r="AZ33" s="2689"/>
      <c r="BA33" s="1535"/>
      <c r="BB33" s="1528"/>
      <c r="BC33" s="1528"/>
      <c r="BD33" s="1528"/>
      <c r="BE33" s="1534"/>
    </row>
    <row r="34" spans="1:58" ht="15.75" customHeight="1" thickBot="1">
      <c r="A34" s="1817"/>
      <c r="B34" s="2679"/>
      <c r="C34" s="2677"/>
      <c r="D34" s="2677"/>
      <c r="E34" s="2677"/>
      <c r="F34" s="2677"/>
      <c r="G34" s="2677"/>
      <c r="H34" s="2677"/>
      <c r="I34" s="2678"/>
      <c r="J34" s="2683"/>
      <c r="K34" s="2681"/>
      <c r="L34" s="2681"/>
      <c r="M34" s="2682"/>
      <c r="N34" s="2683"/>
      <c r="O34" s="2681"/>
      <c r="P34" s="2681"/>
      <c r="Q34" s="2681"/>
      <c r="R34" s="2690"/>
      <c r="S34" s="2691"/>
      <c r="T34" s="2691"/>
      <c r="U34" s="2691"/>
      <c r="V34" s="2691"/>
      <c r="W34" s="2691"/>
      <c r="X34" s="2691"/>
      <c r="Y34" s="2691"/>
      <c r="Z34" s="2691"/>
      <c r="AA34" s="2691"/>
      <c r="AB34" s="2691"/>
      <c r="AC34" s="2691"/>
      <c r="AD34" s="2691"/>
      <c r="AE34" s="2691"/>
      <c r="AF34" s="2691"/>
      <c r="AG34" s="2691"/>
      <c r="AH34" s="2691"/>
      <c r="AI34" s="2691"/>
      <c r="AJ34" s="2691"/>
      <c r="AK34" s="2691"/>
      <c r="AL34" s="2691"/>
      <c r="AM34" s="2691"/>
      <c r="AN34" s="2691"/>
      <c r="AO34" s="2691"/>
      <c r="AP34" s="2691"/>
      <c r="AQ34" s="2691"/>
      <c r="AR34" s="2691"/>
      <c r="AS34" s="2691"/>
      <c r="AT34" s="2691"/>
      <c r="AU34" s="2691"/>
      <c r="AV34" s="2691"/>
      <c r="AW34" s="2691"/>
      <c r="AX34" s="2691"/>
      <c r="AY34" s="2691"/>
      <c r="AZ34" s="2692"/>
      <c r="BA34" s="1535"/>
      <c r="BB34" s="1528"/>
      <c r="BC34" s="1528"/>
      <c r="BD34" s="1528"/>
      <c r="BE34" s="1534"/>
    </row>
    <row r="35" spans="1:58" ht="15.75" customHeight="1" thickBot="1">
      <c r="A35" s="1817"/>
      <c r="B35" s="2679"/>
      <c r="C35" s="2677"/>
      <c r="D35" s="2677"/>
      <c r="E35" s="2677"/>
      <c r="F35" s="2677"/>
      <c r="G35" s="2677"/>
      <c r="H35" s="2677"/>
      <c r="I35" s="2678"/>
      <c r="J35" s="2683"/>
      <c r="K35" s="2681"/>
      <c r="L35" s="2681"/>
      <c r="M35" s="2682"/>
      <c r="N35" s="2683"/>
      <c r="O35" s="2681"/>
      <c r="P35" s="2681"/>
      <c r="Q35" s="2681"/>
      <c r="R35" s="2693">
        <v>0.5</v>
      </c>
      <c r="S35" s="2694"/>
      <c r="T35" s="2694"/>
      <c r="U35" s="2695"/>
      <c r="V35" s="2693">
        <v>0.6</v>
      </c>
      <c r="W35" s="2694"/>
      <c r="X35" s="2694"/>
      <c r="Y35" s="2695"/>
      <c r="Z35" s="2693">
        <v>0.7</v>
      </c>
      <c r="AA35" s="2694"/>
      <c r="AB35" s="2694"/>
      <c r="AC35" s="2695"/>
      <c r="AD35" s="2693">
        <v>0.8</v>
      </c>
      <c r="AE35" s="2694"/>
      <c r="AF35" s="2694"/>
      <c r="AG35" s="2695"/>
      <c r="AH35" s="2693">
        <v>1</v>
      </c>
      <c r="AI35" s="2694"/>
      <c r="AJ35" s="2694"/>
      <c r="AK35" s="2695"/>
      <c r="AL35" s="2693">
        <v>1.2</v>
      </c>
      <c r="AM35" s="2694"/>
      <c r="AN35" s="2695"/>
      <c r="AO35" s="2705" t="s">
        <v>2055</v>
      </c>
      <c r="AP35" s="2706"/>
      <c r="AQ35" s="2706"/>
      <c r="AR35" s="2706"/>
      <c r="AS35" s="2706"/>
      <c r="AT35" s="2707"/>
      <c r="AU35" s="2705" t="s">
        <v>2056</v>
      </c>
      <c r="AV35" s="2706"/>
      <c r="AW35" s="2706"/>
      <c r="AX35" s="2706"/>
      <c r="AY35" s="2706"/>
      <c r="AZ35" s="2707"/>
      <c r="BA35" s="1535"/>
      <c r="BB35" s="1528"/>
      <c r="BC35" s="1528"/>
      <c r="BD35" s="1528"/>
      <c r="BE35" s="1534"/>
      <c r="BF35" s="1526"/>
    </row>
    <row r="36" spans="1:58" ht="15.75" customHeight="1">
      <c r="A36" s="1817"/>
      <c r="B36" s="2708" t="s">
        <v>2057</v>
      </c>
      <c r="C36" s="2709"/>
      <c r="D36" s="2709"/>
      <c r="E36" s="2709"/>
      <c r="F36" s="2709"/>
      <c r="G36" s="2709"/>
      <c r="H36" s="2709"/>
      <c r="I36" s="2710"/>
      <c r="J36" s="2711" t="s">
        <v>2058</v>
      </c>
      <c r="K36" s="2712"/>
      <c r="L36" s="2712"/>
      <c r="M36" s="2713"/>
      <c r="N36" s="2714">
        <v>55</v>
      </c>
      <c r="O36" s="2715"/>
      <c r="P36" s="2715"/>
      <c r="Q36" s="2716"/>
      <c r="R36" s="2717">
        <v>10</v>
      </c>
      <c r="S36" s="2717"/>
      <c r="T36" s="2717"/>
      <c r="U36" s="2717"/>
      <c r="V36" s="2717">
        <v>30</v>
      </c>
      <c r="W36" s="2717"/>
      <c r="X36" s="2717"/>
      <c r="Y36" s="2717"/>
      <c r="Z36" s="2717"/>
      <c r="AA36" s="2717"/>
      <c r="AB36" s="2717"/>
      <c r="AC36" s="2717"/>
      <c r="AD36" s="2717">
        <v>59</v>
      </c>
      <c r="AE36" s="2717"/>
      <c r="AF36" s="2717"/>
      <c r="AG36" s="2717"/>
      <c r="AH36" s="2720"/>
      <c r="AI36" s="2720"/>
      <c r="AJ36" s="2720"/>
      <c r="AK36" s="2720"/>
      <c r="AL36" s="2720"/>
      <c r="AM36" s="2720"/>
      <c r="AN36" s="2720"/>
      <c r="AO36" s="2718">
        <f>SUM(R36:AN36)</f>
        <v>99</v>
      </c>
      <c r="AP36" s="2718"/>
      <c r="AQ36" s="2718"/>
      <c r="AR36" s="2718"/>
      <c r="AS36" s="2718"/>
      <c r="AT36" s="2718"/>
      <c r="AU36" s="2719">
        <f>AO36/$J$29</f>
        <v>1.1123595505617978</v>
      </c>
      <c r="AV36" s="2719"/>
      <c r="AW36" s="2719"/>
      <c r="AX36" s="2719"/>
      <c r="AY36" s="2719"/>
      <c r="AZ36" s="2719"/>
      <c r="BA36" s="1528"/>
      <c r="BB36" s="1528"/>
      <c r="BC36" s="1528"/>
      <c r="BD36" s="1528"/>
      <c r="BE36" s="1534"/>
      <c r="BF36" s="1526"/>
    </row>
    <row r="37" spans="1:58" ht="15.75" customHeight="1">
      <c r="A37" s="1817"/>
      <c r="B37" s="2696" t="s">
        <v>2059</v>
      </c>
      <c r="C37" s="2697"/>
      <c r="D37" s="2697"/>
      <c r="E37" s="2697"/>
      <c r="F37" s="2697"/>
      <c r="G37" s="2697"/>
      <c r="H37" s="2697"/>
      <c r="I37" s="2698"/>
      <c r="J37" s="2699" t="s">
        <v>2060</v>
      </c>
      <c r="K37" s="2700"/>
      <c r="L37" s="2700"/>
      <c r="M37" s="2701"/>
      <c r="N37" s="2702">
        <v>55</v>
      </c>
      <c r="O37" s="2700"/>
      <c r="P37" s="2700"/>
      <c r="Q37" s="2703"/>
      <c r="R37" s="2704"/>
      <c r="S37" s="2704"/>
      <c r="T37" s="2704"/>
      <c r="U37" s="2704"/>
      <c r="V37" s="2704"/>
      <c r="W37" s="2704"/>
      <c r="X37" s="2704"/>
      <c r="Y37" s="2704"/>
      <c r="Z37" s="2704"/>
      <c r="AA37" s="2704"/>
      <c r="AB37" s="2704"/>
      <c r="AC37" s="2704"/>
      <c r="AD37" s="2704"/>
      <c r="AE37" s="2704"/>
      <c r="AF37" s="2704"/>
      <c r="AG37" s="2704"/>
      <c r="AH37" s="2704"/>
      <c r="AI37" s="2704"/>
      <c r="AJ37" s="2704"/>
      <c r="AK37" s="2704"/>
      <c r="AL37" s="2704"/>
      <c r="AM37" s="2704"/>
      <c r="AN37" s="2704"/>
      <c r="AO37" s="2718">
        <f t="shared" ref="AO37:AO47" si="4">SUM(R37:AN37)</f>
        <v>0</v>
      </c>
      <c r="AP37" s="2718"/>
      <c r="AQ37" s="2718"/>
      <c r="AR37" s="2718"/>
      <c r="AS37" s="2718"/>
      <c r="AT37" s="2718"/>
      <c r="AU37" s="2719">
        <f t="shared" ref="AU37:AU47" si="5">AO37/$J$29</f>
        <v>0</v>
      </c>
      <c r="AV37" s="2719"/>
      <c r="AW37" s="2719"/>
      <c r="AX37" s="2719"/>
      <c r="AY37" s="2719"/>
      <c r="AZ37" s="2719"/>
      <c r="BA37" s="1528"/>
      <c r="BB37" s="1528"/>
      <c r="BC37" s="1528"/>
      <c r="BD37" s="1528"/>
      <c r="BE37" s="1534"/>
      <c r="BF37" s="1526"/>
    </row>
    <row r="38" spans="1:58" ht="15.75" customHeight="1">
      <c r="A38" s="1817"/>
      <c r="B38" s="2696" t="s">
        <v>2061</v>
      </c>
      <c r="C38" s="2697"/>
      <c r="D38" s="2697"/>
      <c r="E38" s="2697"/>
      <c r="F38" s="2697"/>
      <c r="G38" s="2697"/>
      <c r="H38" s="2697"/>
      <c r="I38" s="2698"/>
      <c r="J38" s="2699" t="s">
        <v>2062</v>
      </c>
      <c r="K38" s="2700"/>
      <c r="L38" s="2700"/>
      <c r="M38" s="2701"/>
      <c r="N38" s="2702">
        <v>55</v>
      </c>
      <c r="O38" s="2700"/>
      <c r="P38" s="2700"/>
      <c r="Q38" s="2703"/>
      <c r="R38" s="2704"/>
      <c r="S38" s="2704"/>
      <c r="T38" s="2704"/>
      <c r="U38" s="2704"/>
      <c r="V38" s="2704"/>
      <c r="W38" s="2704"/>
      <c r="X38" s="2704"/>
      <c r="Y38" s="2704"/>
      <c r="Z38" s="2704"/>
      <c r="AA38" s="2704"/>
      <c r="AB38" s="2704"/>
      <c r="AC38" s="2704"/>
      <c r="AD38" s="2704"/>
      <c r="AE38" s="2704"/>
      <c r="AF38" s="2704"/>
      <c r="AG38" s="2704"/>
      <c r="AH38" s="2704"/>
      <c r="AI38" s="2704"/>
      <c r="AJ38" s="2704"/>
      <c r="AK38" s="2704"/>
      <c r="AL38" s="2704"/>
      <c r="AM38" s="2704"/>
      <c r="AN38" s="2704"/>
      <c r="AO38" s="2718">
        <f t="shared" si="4"/>
        <v>0</v>
      </c>
      <c r="AP38" s="2718"/>
      <c r="AQ38" s="2718"/>
      <c r="AR38" s="2718"/>
      <c r="AS38" s="2718"/>
      <c r="AT38" s="2718"/>
      <c r="AU38" s="2719">
        <f t="shared" si="5"/>
        <v>0</v>
      </c>
      <c r="AV38" s="2719"/>
      <c r="AW38" s="2719"/>
      <c r="AX38" s="2719"/>
      <c r="AY38" s="2719"/>
      <c r="AZ38" s="2719"/>
      <c r="BA38" s="1528"/>
      <c r="BB38" s="1528"/>
      <c r="BC38" s="1528"/>
      <c r="BD38" s="1528"/>
      <c r="BE38" s="1534"/>
      <c r="BF38" s="1526"/>
    </row>
    <row r="39" spans="1:58" ht="15.75" customHeight="1">
      <c r="A39" s="1817"/>
      <c r="B39" s="2696" t="s">
        <v>2063</v>
      </c>
      <c r="C39" s="2697"/>
      <c r="D39" s="2697"/>
      <c r="E39" s="2697"/>
      <c r="F39" s="2697"/>
      <c r="G39" s="2697"/>
      <c r="H39" s="2697"/>
      <c r="I39" s="2698"/>
      <c r="J39" s="2721"/>
      <c r="K39" s="2722"/>
      <c r="L39" s="2722"/>
      <c r="M39" s="2723"/>
      <c r="N39" s="2724"/>
      <c r="O39" s="2722"/>
      <c r="P39" s="2722"/>
      <c r="Q39" s="2725"/>
      <c r="R39" s="2704"/>
      <c r="S39" s="2704"/>
      <c r="T39" s="2704"/>
      <c r="U39" s="2704"/>
      <c r="V39" s="2704"/>
      <c r="W39" s="2704"/>
      <c r="X39" s="2704"/>
      <c r="Y39" s="2704"/>
      <c r="Z39" s="2704"/>
      <c r="AA39" s="2704"/>
      <c r="AB39" s="2704"/>
      <c r="AC39" s="2704"/>
      <c r="AD39" s="2704"/>
      <c r="AE39" s="2704"/>
      <c r="AF39" s="2704"/>
      <c r="AG39" s="2704"/>
      <c r="AH39" s="2704"/>
      <c r="AI39" s="2704"/>
      <c r="AJ39" s="2704"/>
      <c r="AK39" s="2704"/>
      <c r="AL39" s="2704"/>
      <c r="AM39" s="2704"/>
      <c r="AN39" s="2704"/>
      <c r="AO39" s="2718">
        <f t="shared" si="4"/>
        <v>0</v>
      </c>
      <c r="AP39" s="2718"/>
      <c r="AQ39" s="2718"/>
      <c r="AR39" s="2718"/>
      <c r="AS39" s="2718"/>
      <c r="AT39" s="2718"/>
      <c r="AU39" s="2719">
        <f t="shared" si="5"/>
        <v>0</v>
      </c>
      <c r="AV39" s="2719"/>
      <c r="AW39" s="2719"/>
      <c r="AX39" s="2719"/>
      <c r="AY39" s="2719"/>
      <c r="AZ39" s="2719"/>
      <c r="BA39" s="1528"/>
      <c r="BB39" s="1528"/>
      <c r="BC39" s="1528"/>
      <c r="BD39" s="1528"/>
      <c r="BE39" s="1534"/>
    </row>
    <row r="40" spans="1:58" ht="15.75" customHeight="1">
      <c r="A40" s="1817"/>
      <c r="B40" s="2696" t="s">
        <v>2063</v>
      </c>
      <c r="C40" s="2697"/>
      <c r="D40" s="2697"/>
      <c r="E40" s="2697"/>
      <c r="F40" s="2697"/>
      <c r="G40" s="2697"/>
      <c r="H40" s="2697"/>
      <c r="I40" s="2698"/>
      <c r="J40" s="2721"/>
      <c r="K40" s="2722"/>
      <c r="L40" s="2722"/>
      <c r="M40" s="2723"/>
      <c r="N40" s="2724"/>
      <c r="O40" s="2722"/>
      <c r="P40" s="2722"/>
      <c r="Q40" s="2725"/>
      <c r="R40" s="2704"/>
      <c r="S40" s="2704"/>
      <c r="T40" s="2704"/>
      <c r="U40" s="2704"/>
      <c r="V40" s="2704"/>
      <c r="W40" s="2704"/>
      <c r="X40" s="2704"/>
      <c r="Y40" s="2704"/>
      <c r="Z40" s="2704"/>
      <c r="AA40" s="2704"/>
      <c r="AB40" s="2704"/>
      <c r="AC40" s="2704"/>
      <c r="AD40" s="2704"/>
      <c r="AE40" s="2704"/>
      <c r="AF40" s="2704"/>
      <c r="AG40" s="2704"/>
      <c r="AH40" s="2704"/>
      <c r="AI40" s="2704"/>
      <c r="AJ40" s="2704"/>
      <c r="AK40" s="2704"/>
      <c r="AL40" s="2704"/>
      <c r="AM40" s="2704"/>
      <c r="AN40" s="2704"/>
      <c r="AO40" s="2718">
        <f t="shared" si="4"/>
        <v>0</v>
      </c>
      <c r="AP40" s="2718"/>
      <c r="AQ40" s="2718"/>
      <c r="AR40" s="2718"/>
      <c r="AS40" s="2718"/>
      <c r="AT40" s="2718"/>
      <c r="AU40" s="2719">
        <f t="shared" si="5"/>
        <v>0</v>
      </c>
      <c r="AV40" s="2719"/>
      <c r="AW40" s="2719"/>
      <c r="AX40" s="2719"/>
      <c r="AY40" s="2719"/>
      <c r="AZ40" s="2719"/>
      <c r="BA40" s="1528"/>
      <c r="BB40" s="1528"/>
      <c r="BC40" s="1528"/>
      <c r="BD40" s="1528"/>
      <c r="BE40" s="1534"/>
    </row>
    <row r="41" spans="1:58" ht="15.75" customHeight="1">
      <c r="A41" s="1817"/>
      <c r="B41" s="2726" t="s">
        <v>2064</v>
      </c>
      <c r="C41" s="2727"/>
      <c r="D41" s="2727"/>
      <c r="E41" s="2727"/>
      <c r="F41" s="2727"/>
      <c r="G41" s="2727"/>
      <c r="H41" s="2727"/>
      <c r="I41" s="2728"/>
      <c r="J41" s="2721"/>
      <c r="K41" s="2722"/>
      <c r="L41" s="2722"/>
      <c r="M41" s="2723"/>
      <c r="N41" s="2724"/>
      <c r="O41" s="2722"/>
      <c r="P41" s="2722"/>
      <c r="Q41" s="2725"/>
      <c r="R41" s="2704"/>
      <c r="S41" s="2704"/>
      <c r="T41" s="2704"/>
      <c r="U41" s="2704"/>
      <c r="V41" s="2704"/>
      <c r="W41" s="2704"/>
      <c r="X41" s="2704"/>
      <c r="Y41" s="2704"/>
      <c r="Z41" s="2704"/>
      <c r="AA41" s="2704"/>
      <c r="AB41" s="2704"/>
      <c r="AC41" s="2704"/>
      <c r="AD41" s="2704"/>
      <c r="AE41" s="2704"/>
      <c r="AF41" s="2704"/>
      <c r="AG41" s="2704"/>
      <c r="AH41" s="2704"/>
      <c r="AI41" s="2704"/>
      <c r="AJ41" s="2704"/>
      <c r="AK41" s="2704"/>
      <c r="AL41" s="2704"/>
      <c r="AM41" s="2704"/>
      <c r="AN41" s="2704"/>
      <c r="AO41" s="2718">
        <f t="shared" si="4"/>
        <v>0</v>
      </c>
      <c r="AP41" s="2718"/>
      <c r="AQ41" s="2718"/>
      <c r="AR41" s="2718"/>
      <c r="AS41" s="2718"/>
      <c r="AT41" s="2718"/>
      <c r="AU41" s="2719">
        <f t="shared" si="5"/>
        <v>0</v>
      </c>
      <c r="AV41" s="2719"/>
      <c r="AW41" s="2719"/>
      <c r="AX41" s="2719"/>
      <c r="AY41" s="2719"/>
      <c r="AZ41" s="2719"/>
      <c r="BA41" s="1528"/>
      <c r="BB41" s="1528"/>
      <c r="BC41" s="1528"/>
      <c r="BD41" s="1528"/>
      <c r="BE41" s="1534"/>
    </row>
    <row r="42" spans="1:58" ht="15.75" customHeight="1">
      <c r="A42" s="1817"/>
      <c r="B42" s="2726" t="s">
        <v>2064</v>
      </c>
      <c r="C42" s="2727"/>
      <c r="D42" s="2727"/>
      <c r="E42" s="2727"/>
      <c r="F42" s="2727"/>
      <c r="G42" s="2727"/>
      <c r="H42" s="2727"/>
      <c r="I42" s="2728"/>
      <c r="J42" s="2721"/>
      <c r="K42" s="2722"/>
      <c r="L42" s="2722"/>
      <c r="M42" s="2723"/>
      <c r="N42" s="2724"/>
      <c r="O42" s="2722"/>
      <c r="P42" s="2722"/>
      <c r="Q42" s="2725"/>
      <c r="R42" s="2704"/>
      <c r="S42" s="2704"/>
      <c r="T42" s="2704"/>
      <c r="U42" s="2704"/>
      <c r="V42" s="2704"/>
      <c r="W42" s="2704"/>
      <c r="X42" s="2704"/>
      <c r="Y42" s="2704"/>
      <c r="Z42" s="2704"/>
      <c r="AA42" s="2704"/>
      <c r="AB42" s="2704"/>
      <c r="AC42" s="2704"/>
      <c r="AD42" s="2704"/>
      <c r="AE42" s="2704"/>
      <c r="AF42" s="2704"/>
      <c r="AG42" s="2704"/>
      <c r="AH42" s="2704"/>
      <c r="AI42" s="2704"/>
      <c r="AJ42" s="2704"/>
      <c r="AK42" s="2704"/>
      <c r="AL42" s="2704"/>
      <c r="AM42" s="2704"/>
      <c r="AN42" s="2704"/>
      <c r="AO42" s="2718">
        <f t="shared" si="4"/>
        <v>0</v>
      </c>
      <c r="AP42" s="2718"/>
      <c r="AQ42" s="2718"/>
      <c r="AR42" s="2718"/>
      <c r="AS42" s="2718"/>
      <c r="AT42" s="2718"/>
      <c r="AU42" s="2719">
        <f t="shared" si="5"/>
        <v>0</v>
      </c>
      <c r="AV42" s="2719"/>
      <c r="AW42" s="2719"/>
      <c r="AX42" s="2719"/>
      <c r="AY42" s="2719"/>
      <c r="AZ42" s="2719"/>
      <c r="BA42" s="1528"/>
      <c r="BB42" s="1528"/>
      <c r="BC42" s="1528"/>
      <c r="BD42" s="1528"/>
      <c r="BE42" s="1534"/>
    </row>
    <row r="43" spans="1:58" ht="15.75" customHeight="1">
      <c r="A43" s="1817"/>
      <c r="B43" s="2729" t="s">
        <v>2065</v>
      </c>
      <c r="C43" s="2730"/>
      <c r="D43" s="2730"/>
      <c r="E43" s="2730"/>
      <c r="F43" s="2730"/>
      <c r="G43" s="2730"/>
      <c r="H43" s="2730"/>
      <c r="I43" s="2731"/>
      <c r="J43" s="2721"/>
      <c r="K43" s="2722"/>
      <c r="L43" s="2722"/>
      <c r="M43" s="2723"/>
      <c r="N43" s="2724"/>
      <c r="O43" s="2722"/>
      <c r="P43" s="2722"/>
      <c r="Q43" s="2725"/>
      <c r="R43" s="2704"/>
      <c r="S43" s="2704"/>
      <c r="T43" s="2704"/>
      <c r="U43" s="2704"/>
      <c r="V43" s="2704"/>
      <c r="W43" s="2704"/>
      <c r="X43" s="2704"/>
      <c r="Y43" s="2704"/>
      <c r="Z43" s="2704"/>
      <c r="AA43" s="2704"/>
      <c r="AB43" s="2704"/>
      <c r="AC43" s="2704"/>
      <c r="AD43" s="2704"/>
      <c r="AE43" s="2704"/>
      <c r="AF43" s="2704"/>
      <c r="AG43" s="2704"/>
      <c r="AH43" s="2704"/>
      <c r="AI43" s="2704"/>
      <c r="AJ43" s="2704"/>
      <c r="AK43" s="2704"/>
      <c r="AL43" s="2704"/>
      <c r="AM43" s="2704"/>
      <c r="AN43" s="2704"/>
      <c r="AO43" s="2718">
        <f t="shared" si="4"/>
        <v>0</v>
      </c>
      <c r="AP43" s="2718"/>
      <c r="AQ43" s="2718"/>
      <c r="AR43" s="2718"/>
      <c r="AS43" s="2718"/>
      <c r="AT43" s="2718"/>
      <c r="AU43" s="2719">
        <f t="shared" si="5"/>
        <v>0</v>
      </c>
      <c r="AV43" s="2719"/>
      <c r="AW43" s="2719"/>
      <c r="AX43" s="2719"/>
      <c r="AY43" s="2719"/>
      <c r="AZ43" s="2719"/>
      <c r="BA43" s="1528"/>
      <c r="BB43" s="1528"/>
      <c r="BC43" s="1528"/>
      <c r="BD43" s="1528"/>
      <c r="BE43" s="1534"/>
    </row>
    <row r="44" spans="1:58" ht="15.75" customHeight="1">
      <c r="A44" s="1817"/>
      <c r="B44" s="2729" t="s">
        <v>2066</v>
      </c>
      <c r="C44" s="2730"/>
      <c r="D44" s="2730"/>
      <c r="E44" s="2730"/>
      <c r="F44" s="2730"/>
      <c r="G44" s="2730"/>
      <c r="H44" s="2730"/>
      <c r="I44" s="2731"/>
      <c r="J44" s="2721"/>
      <c r="K44" s="2722"/>
      <c r="L44" s="2722"/>
      <c r="M44" s="2723"/>
      <c r="N44" s="2724"/>
      <c r="O44" s="2722"/>
      <c r="P44" s="2722"/>
      <c r="Q44" s="2725"/>
      <c r="R44" s="2704"/>
      <c r="S44" s="2704"/>
      <c r="T44" s="2704"/>
      <c r="U44" s="2704"/>
      <c r="V44" s="2704"/>
      <c r="W44" s="2704"/>
      <c r="X44" s="2704"/>
      <c r="Y44" s="2704"/>
      <c r="Z44" s="2704"/>
      <c r="AA44" s="2704"/>
      <c r="AB44" s="2704"/>
      <c r="AC44" s="2704"/>
      <c r="AD44" s="2704"/>
      <c r="AE44" s="2704"/>
      <c r="AF44" s="2704"/>
      <c r="AG44" s="2704"/>
      <c r="AH44" s="2704"/>
      <c r="AI44" s="2704"/>
      <c r="AJ44" s="2704"/>
      <c r="AK44" s="2704"/>
      <c r="AL44" s="2704"/>
      <c r="AM44" s="2704"/>
      <c r="AN44" s="2704"/>
      <c r="AO44" s="2718">
        <f t="shared" si="4"/>
        <v>0</v>
      </c>
      <c r="AP44" s="2718"/>
      <c r="AQ44" s="2718"/>
      <c r="AR44" s="2718"/>
      <c r="AS44" s="2718"/>
      <c r="AT44" s="2718"/>
      <c r="AU44" s="2719">
        <f t="shared" si="5"/>
        <v>0</v>
      </c>
      <c r="AV44" s="2719"/>
      <c r="AW44" s="2719"/>
      <c r="AX44" s="2719"/>
      <c r="AY44" s="2719"/>
      <c r="AZ44" s="2719"/>
      <c r="BA44" s="1528"/>
      <c r="BB44" s="1528"/>
      <c r="BC44" s="1528"/>
      <c r="BD44" s="1528"/>
      <c r="BE44" s="1534"/>
    </row>
    <row r="45" spans="1:58" ht="15.75" customHeight="1">
      <c r="A45" s="1817"/>
      <c r="B45" s="2732" t="s">
        <v>2067</v>
      </c>
      <c r="C45" s="2733"/>
      <c r="D45" s="2733"/>
      <c r="E45" s="2733"/>
      <c r="F45" s="2733"/>
      <c r="G45" s="2733"/>
      <c r="H45" s="2733"/>
      <c r="I45" s="2734"/>
      <c r="J45" s="2721"/>
      <c r="K45" s="2722"/>
      <c r="L45" s="2722"/>
      <c r="M45" s="2723"/>
      <c r="N45" s="2724"/>
      <c r="O45" s="2722"/>
      <c r="P45" s="2722"/>
      <c r="Q45" s="2725"/>
      <c r="R45" s="2704"/>
      <c r="S45" s="2704"/>
      <c r="T45" s="2704"/>
      <c r="U45" s="2704"/>
      <c r="V45" s="2704"/>
      <c r="W45" s="2704"/>
      <c r="X45" s="2704"/>
      <c r="Y45" s="2704"/>
      <c r="Z45" s="2704"/>
      <c r="AA45" s="2704"/>
      <c r="AB45" s="2704"/>
      <c r="AC45" s="2704"/>
      <c r="AD45" s="2704"/>
      <c r="AE45" s="2704"/>
      <c r="AF45" s="2704"/>
      <c r="AG45" s="2704"/>
      <c r="AH45" s="2704"/>
      <c r="AI45" s="2704"/>
      <c r="AJ45" s="2704"/>
      <c r="AK45" s="2704"/>
      <c r="AL45" s="2704"/>
      <c r="AM45" s="2704"/>
      <c r="AN45" s="2704"/>
      <c r="AO45" s="2718">
        <f t="shared" si="4"/>
        <v>0</v>
      </c>
      <c r="AP45" s="2718"/>
      <c r="AQ45" s="2718"/>
      <c r="AR45" s="2718"/>
      <c r="AS45" s="2718"/>
      <c r="AT45" s="2718"/>
      <c r="AU45" s="2719">
        <f t="shared" si="5"/>
        <v>0</v>
      </c>
      <c r="AV45" s="2719"/>
      <c r="AW45" s="2719"/>
      <c r="AX45" s="2719"/>
      <c r="AY45" s="2719"/>
      <c r="AZ45" s="2719"/>
      <c r="BA45" s="1528"/>
      <c r="BB45" s="1528"/>
      <c r="BC45" s="1528"/>
      <c r="BD45" s="1528"/>
      <c r="BE45" s="1534"/>
    </row>
    <row r="46" spans="1:58" ht="15.75" customHeight="1">
      <c r="A46" s="1817"/>
      <c r="B46" s="2732" t="s">
        <v>2068</v>
      </c>
      <c r="C46" s="2733"/>
      <c r="D46" s="2733"/>
      <c r="E46" s="2733"/>
      <c r="F46" s="2733"/>
      <c r="G46" s="2733"/>
      <c r="H46" s="2733"/>
      <c r="I46" s="2734"/>
      <c r="J46" s="2721"/>
      <c r="K46" s="2722"/>
      <c r="L46" s="2722"/>
      <c r="M46" s="2723"/>
      <c r="N46" s="2702">
        <v>99</v>
      </c>
      <c r="O46" s="2700"/>
      <c r="P46" s="2700"/>
      <c r="Q46" s="2703"/>
      <c r="R46" s="2704"/>
      <c r="S46" s="2704"/>
      <c r="T46" s="2704"/>
      <c r="U46" s="2704"/>
      <c r="V46" s="2704"/>
      <c r="W46" s="2704"/>
      <c r="X46" s="2704"/>
      <c r="Y46" s="2704"/>
      <c r="Z46" s="2704"/>
      <c r="AA46" s="2704"/>
      <c r="AB46" s="2704"/>
      <c r="AC46" s="2704"/>
      <c r="AD46" s="2704"/>
      <c r="AE46" s="2704"/>
      <c r="AF46" s="2704"/>
      <c r="AG46" s="2704"/>
      <c r="AH46" s="2704"/>
      <c r="AI46" s="2704"/>
      <c r="AJ46" s="2704"/>
      <c r="AK46" s="2704"/>
      <c r="AL46" s="2704"/>
      <c r="AM46" s="2704"/>
      <c r="AN46" s="2704"/>
      <c r="AO46" s="2718">
        <f t="shared" si="4"/>
        <v>0</v>
      </c>
      <c r="AP46" s="2718"/>
      <c r="AQ46" s="2718"/>
      <c r="AR46" s="2718"/>
      <c r="AS46" s="2718"/>
      <c r="AT46" s="2718"/>
      <c r="AU46" s="2719">
        <f t="shared" si="5"/>
        <v>0</v>
      </c>
      <c r="AV46" s="2719"/>
      <c r="AW46" s="2719"/>
      <c r="AX46" s="2719"/>
      <c r="AY46" s="2719"/>
      <c r="AZ46" s="2719"/>
      <c r="BA46" s="1528"/>
      <c r="BB46" s="1528"/>
      <c r="BC46" s="1528"/>
      <c r="BD46" s="1528"/>
      <c r="BE46" s="1534"/>
    </row>
    <row r="47" spans="1:58" ht="15.75" customHeight="1" thickBot="1">
      <c r="A47" s="1817"/>
      <c r="B47" s="2735" t="s">
        <v>307</v>
      </c>
      <c r="C47" s="2736"/>
      <c r="D47" s="2736"/>
      <c r="E47" s="2736"/>
      <c r="F47" s="2736"/>
      <c r="G47" s="2736"/>
      <c r="H47" s="2736"/>
      <c r="I47" s="2737"/>
      <c r="J47" s="2738"/>
      <c r="K47" s="2739"/>
      <c r="L47" s="2739"/>
      <c r="M47" s="2740"/>
      <c r="N47" s="2741"/>
      <c r="O47" s="2739"/>
      <c r="P47" s="2739"/>
      <c r="Q47" s="2742"/>
      <c r="R47" s="2704"/>
      <c r="S47" s="2704"/>
      <c r="T47" s="2704"/>
      <c r="U47" s="2704"/>
      <c r="V47" s="2704"/>
      <c r="W47" s="2704"/>
      <c r="X47" s="2704"/>
      <c r="Y47" s="2704"/>
      <c r="Z47" s="2704"/>
      <c r="AA47" s="2704"/>
      <c r="AB47" s="2704"/>
      <c r="AC47" s="2704"/>
      <c r="AD47" s="2704"/>
      <c r="AE47" s="2704"/>
      <c r="AF47" s="2704"/>
      <c r="AG47" s="2704"/>
      <c r="AH47" s="2704"/>
      <c r="AI47" s="2704"/>
      <c r="AJ47" s="2704"/>
      <c r="AK47" s="2704"/>
      <c r="AL47" s="2704"/>
      <c r="AM47" s="2704"/>
      <c r="AN47" s="2704"/>
      <c r="AO47" s="2718">
        <f t="shared" si="4"/>
        <v>0</v>
      </c>
      <c r="AP47" s="2718"/>
      <c r="AQ47" s="2718"/>
      <c r="AR47" s="2718"/>
      <c r="AS47" s="2718"/>
      <c r="AT47" s="2718"/>
      <c r="AU47" s="2719">
        <f t="shared" si="5"/>
        <v>0</v>
      </c>
      <c r="AV47" s="2719"/>
      <c r="AW47" s="2719"/>
      <c r="AX47" s="2719"/>
      <c r="AY47" s="2719"/>
      <c r="AZ47" s="2719"/>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3" t="s">
        <v>2071</v>
      </c>
      <c r="C50" s="2744"/>
      <c r="D50" s="2744"/>
      <c r="E50" s="2744"/>
      <c r="F50" s="2744"/>
      <c r="G50" s="2744"/>
      <c r="H50" s="2744"/>
      <c r="I50" s="2744"/>
      <c r="J50" s="2744"/>
      <c r="K50" s="2744"/>
      <c r="L50" s="2744"/>
      <c r="M50" s="2744"/>
      <c r="N50" s="2744"/>
      <c r="O50" s="2744"/>
      <c r="P50" s="2744"/>
      <c r="Q50" s="2744"/>
      <c r="R50" s="2744"/>
      <c r="S50" s="2744"/>
      <c r="T50" s="2744"/>
      <c r="U50" s="2744"/>
      <c r="V50" s="2744"/>
      <c r="W50" s="2744"/>
      <c r="X50" s="2744"/>
      <c r="Y50" s="2744"/>
      <c r="Z50" s="2744"/>
      <c r="AA50" s="2744"/>
      <c r="AB50" s="2744"/>
      <c r="AC50" s="2744"/>
      <c r="AD50" s="2744"/>
      <c r="AE50" s="2744"/>
      <c r="AF50" s="2744"/>
      <c r="AG50" s="2744"/>
      <c r="AH50" s="2744"/>
      <c r="AI50" s="2744"/>
      <c r="AJ50" s="2744"/>
      <c r="AK50" s="2744"/>
      <c r="AL50" s="2744"/>
      <c r="AM50" s="2744"/>
      <c r="AN50" s="2744"/>
      <c r="AO50" s="2745"/>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6" t="s">
        <v>2072</v>
      </c>
      <c r="C51" s="2747"/>
      <c r="D51" s="2747"/>
      <c r="E51" s="2747"/>
      <c r="F51" s="2747"/>
      <c r="G51" s="2747"/>
      <c r="H51" s="2747"/>
      <c r="I51" s="2748"/>
      <c r="J51" s="2746" t="s">
        <v>2073</v>
      </c>
      <c r="K51" s="2747"/>
      <c r="L51" s="2747"/>
      <c r="M51" s="2747"/>
      <c r="N51" s="2747"/>
      <c r="O51" s="2747"/>
      <c r="P51" s="2747"/>
      <c r="Q51" s="2748"/>
      <c r="R51" s="2749" t="s">
        <v>2074</v>
      </c>
      <c r="S51" s="2750"/>
      <c r="T51" s="2750"/>
      <c r="U51" s="2750"/>
      <c r="V51" s="2750"/>
      <c r="W51" s="2750"/>
      <c r="X51" s="2750"/>
      <c r="Y51" s="2751"/>
      <c r="Z51" s="2752" t="s">
        <v>2075</v>
      </c>
      <c r="AA51" s="2753"/>
      <c r="AB51" s="2753"/>
      <c r="AC51" s="2753"/>
      <c r="AD51" s="2753"/>
      <c r="AE51" s="2753"/>
      <c r="AF51" s="2753"/>
      <c r="AG51" s="2754"/>
      <c r="AH51" s="2752" t="s">
        <v>2076</v>
      </c>
      <c r="AI51" s="2753"/>
      <c r="AJ51" s="2753"/>
      <c r="AK51" s="2753"/>
      <c r="AL51" s="2753"/>
      <c r="AM51" s="2753"/>
      <c r="AN51" s="2753"/>
      <c r="AO51" s="2754"/>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5"/>
      <c r="C52" s="2756"/>
      <c r="D52" s="2756"/>
      <c r="E52" s="2756"/>
      <c r="F52" s="2756"/>
      <c r="G52" s="2756"/>
      <c r="H52" s="2756"/>
      <c r="I52" s="2756"/>
      <c r="J52" s="2756"/>
      <c r="K52" s="2756"/>
      <c r="L52" s="2756"/>
      <c r="M52" s="2756"/>
      <c r="N52" s="2756"/>
      <c r="O52" s="2756"/>
      <c r="P52" s="2756"/>
      <c r="Q52" s="2756"/>
      <c r="R52" s="2757"/>
      <c r="S52" s="2757"/>
      <c r="T52" s="2757"/>
      <c r="U52" s="2757"/>
      <c r="V52" s="2757"/>
      <c r="W52" s="2757"/>
      <c r="X52" s="2757"/>
      <c r="Y52" s="2757"/>
      <c r="Z52" s="2756"/>
      <c r="AA52" s="2756"/>
      <c r="AB52" s="2756"/>
      <c r="AC52" s="2756"/>
      <c r="AD52" s="2756"/>
      <c r="AE52" s="2756"/>
      <c r="AF52" s="2756"/>
      <c r="AG52" s="2756"/>
      <c r="AH52" s="2756"/>
      <c r="AI52" s="2756"/>
      <c r="AJ52" s="2756"/>
      <c r="AK52" s="2756"/>
      <c r="AL52" s="2756"/>
      <c r="AM52" s="2756"/>
      <c r="AN52" s="2756"/>
      <c r="AO52" s="275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5"/>
      <c r="C53" s="2756"/>
      <c r="D53" s="2756"/>
      <c r="E53" s="2756"/>
      <c r="F53" s="2756"/>
      <c r="G53" s="2756"/>
      <c r="H53" s="2756"/>
      <c r="I53" s="2756"/>
      <c r="J53" s="2756"/>
      <c r="K53" s="2756"/>
      <c r="L53" s="2756"/>
      <c r="M53" s="2756"/>
      <c r="N53" s="2756"/>
      <c r="O53" s="2756"/>
      <c r="P53" s="2756"/>
      <c r="Q53" s="2756"/>
      <c r="R53" s="2757"/>
      <c r="S53" s="2757"/>
      <c r="T53" s="2757"/>
      <c r="U53" s="2757"/>
      <c r="V53" s="2757"/>
      <c r="W53" s="2757"/>
      <c r="X53" s="2757"/>
      <c r="Y53" s="2757"/>
      <c r="Z53" s="2756"/>
      <c r="AA53" s="2756"/>
      <c r="AB53" s="2756"/>
      <c r="AC53" s="2756"/>
      <c r="AD53" s="2756"/>
      <c r="AE53" s="2756"/>
      <c r="AF53" s="2756"/>
      <c r="AG53" s="2756"/>
      <c r="AH53" s="2756"/>
      <c r="AI53" s="2756"/>
      <c r="AJ53" s="2756"/>
      <c r="AK53" s="2756"/>
      <c r="AL53" s="2756"/>
      <c r="AM53" s="2756"/>
      <c r="AN53" s="2756"/>
      <c r="AO53" s="275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5"/>
      <c r="C54" s="2756"/>
      <c r="D54" s="2756"/>
      <c r="E54" s="2756"/>
      <c r="F54" s="2756"/>
      <c r="G54" s="2756"/>
      <c r="H54" s="2756"/>
      <c r="I54" s="2756"/>
      <c r="J54" s="2756"/>
      <c r="K54" s="2756"/>
      <c r="L54" s="2756"/>
      <c r="M54" s="2756"/>
      <c r="N54" s="2756"/>
      <c r="O54" s="2756"/>
      <c r="P54" s="2756"/>
      <c r="Q54" s="2756"/>
      <c r="R54" s="2757"/>
      <c r="S54" s="2757"/>
      <c r="T54" s="2757"/>
      <c r="U54" s="2757"/>
      <c r="V54" s="2757"/>
      <c r="W54" s="2757"/>
      <c r="X54" s="2757"/>
      <c r="Y54" s="2757"/>
      <c r="Z54" s="2756"/>
      <c r="AA54" s="2756"/>
      <c r="AB54" s="2756"/>
      <c r="AC54" s="2756"/>
      <c r="AD54" s="2756"/>
      <c r="AE54" s="2756"/>
      <c r="AF54" s="2756"/>
      <c r="AG54" s="2756"/>
      <c r="AH54" s="2756"/>
      <c r="AI54" s="2756"/>
      <c r="AJ54" s="2756"/>
      <c r="AK54" s="2756"/>
      <c r="AL54" s="2756"/>
      <c r="AM54" s="2756"/>
      <c r="AN54" s="2756"/>
      <c r="AO54" s="275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5"/>
      <c r="C55" s="2756"/>
      <c r="D55" s="2756"/>
      <c r="E55" s="2756"/>
      <c r="F55" s="2756"/>
      <c r="G55" s="2756"/>
      <c r="H55" s="2756"/>
      <c r="I55" s="2756"/>
      <c r="J55" s="2756"/>
      <c r="K55" s="2756"/>
      <c r="L55" s="2756"/>
      <c r="M55" s="2756"/>
      <c r="N55" s="2756"/>
      <c r="O55" s="2756"/>
      <c r="P55" s="2756"/>
      <c r="Q55" s="2756"/>
      <c r="R55" s="2757"/>
      <c r="S55" s="2757"/>
      <c r="T55" s="2757"/>
      <c r="U55" s="2757"/>
      <c r="V55" s="2757"/>
      <c r="W55" s="2757"/>
      <c r="X55" s="2757"/>
      <c r="Y55" s="2757"/>
      <c r="Z55" s="2756"/>
      <c r="AA55" s="2756"/>
      <c r="AB55" s="2756"/>
      <c r="AC55" s="2756"/>
      <c r="AD55" s="2756"/>
      <c r="AE55" s="2756"/>
      <c r="AF55" s="2756"/>
      <c r="AG55" s="2756"/>
      <c r="AH55" s="2756"/>
      <c r="AI55" s="2756"/>
      <c r="AJ55" s="2756"/>
      <c r="AK55" s="2756"/>
      <c r="AL55" s="2756"/>
      <c r="AM55" s="2756"/>
      <c r="AN55" s="2756"/>
      <c r="AO55" s="2758"/>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768"/>
      <c r="C56" s="2769"/>
      <c r="D56" s="2769"/>
      <c r="E56" s="2769"/>
      <c r="F56" s="2769"/>
      <c r="G56" s="2769"/>
      <c r="H56" s="2769"/>
      <c r="I56" s="2769"/>
      <c r="J56" s="2769"/>
      <c r="K56" s="2769"/>
      <c r="L56" s="2769"/>
      <c r="M56" s="2769"/>
      <c r="N56" s="2769"/>
      <c r="O56" s="2769"/>
      <c r="P56" s="2769"/>
      <c r="Q56" s="2769"/>
      <c r="R56" s="2770"/>
      <c r="S56" s="2770"/>
      <c r="T56" s="2770"/>
      <c r="U56" s="2770"/>
      <c r="V56" s="2770"/>
      <c r="W56" s="2770"/>
      <c r="X56" s="2770"/>
      <c r="Y56" s="2770"/>
      <c r="Z56" s="2769"/>
      <c r="AA56" s="2769"/>
      <c r="AB56" s="2769"/>
      <c r="AC56" s="2769"/>
      <c r="AD56" s="2769"/>
      <c r="AE56" s="2769"/>
      <c r="AF56" s="2769"/>
      <c r="AG56" s="2769"/>
      <c r="AH56" s="2769"/>
      <c r="AI56" s="2769"/>
      <c r="AJ56" s="2769"/>
      <c r="AK56" s="2769"/>
      <c r="AL56" s="2769"/>
      <c r="AM56" s="2769"/>
      <c r="AN56" s="2769"/>
      <c r="AO56" s="2771"/>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2" t="s">
        <v>1878</v>
      </c>
      <c r="C57" s="2773"/>
      <c r="D57" s="2773"/>
      <c r="E57" s="2773"/>
      <c r="F57" s="2773"/>
      <c r="G57" s="2773"/>
      <c r="H57" s="2773"/>
      <c r="I57" s="2773"/>
      <c r="J57" s="2773"/>
      <c r="K57" s="2773"/>
      <c r="L57" s="2773"/>
      <c r="M57" s="2773"/>
      <c r="N57" s="2773"/>
      <c r="O57" s="2773"/>
      <c r="P57" s="2773"/>
      <c r="Q57" s="2773"/>
      <c r="R57" s="2774">
        <f>SUM(R52:Y56)</f>
        <v>0</v>
      </c>
      <c r="S57" s="2774"/>
      <c r="T57" s="2774"/>
      <c r="U57" s="2774"/>
      <c r="V57" s="2774"/>
      <c r="W57" s="2774"/>
      <c r="X57" s="2774"/>
      <c r="Y57" s="2774"/>
      <c r="Z57" s="2774">
        <f t="shared" ref="Z57" si="6">SUM(Z52:AG56)</f>
        <v>0</v>
      </c>
      <c r="AA57" s="2774"/>
      <c r="AB57" s="2774"/>
      <c r="AC57" s="2774"/>
      <c r="AD57" s="2774"/>
      <c r="AE57" s="2774"/>
      <c r="AF57" s="2774"/>
      <c r="AG57" s="2774"/>
      <c r="AH57" s="2774">
        <f t="shared" ref="AH57" si="7">SUM(AH52:AO56)</f>
        <v>0</v>
      </c>
      <c r="AI57" s="2774"/>
      <c r="AJ57" s="2774"/>
      <c r="AK57" s="2774"/>
      <c r="AL57" s="2774"/>
      <c r="AM57" s="2774"/>
      <c r="AN57" s="2774"/>
      <c r="AO57" s="2774"/>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9" t="s">
        <v>2072</v>
      </c>
      <c r="C59" s="2760"/>
      <c r="D59" s="2760"/>
      <c r="E59" s="2760"/>
      <c r="F59" s="2760"/>
      <c r="G59" s="2760"/>
      <c r="H59" s="2760"/>
      <c r="I59" s="2761"/>
      <c r="J59" s="2762" t="s">
        <v>2077</v>
      </c>
      <c r="K59" s="2762"/>
      <c r="L59" s="2762"/>
      <c r="M59" s="2762"/>
      <c r="N59" s="2762"/>
      <c r="O59" s="2762"/>
      <c r="P59" s="2762"/>
      <c r="Q59" s="2762"/>
      <c r="R59" s="2762"/>
      <c r="S59" s="2762"/>
      <c r="T59" s="2762"/>
      <c r="U59" s="2762"/>
      <c r="V59" s="2762"/>
      <c r="W59" s="2762"/>
      <c r="X59" s="2762"/>
      <c r="Y59" s="2762"/>
      <c r="Z59" s="2762"/>
      <c r="AA59" s="2762"/>
      <c r="AB59" s="2762"/>
      <c r="AC59" s="2762"/>
      <c r="AD59" s="2762"/>
      <c r="AE59" s="2762"/>
      <c r="AF59" s="2762"/>
      <c r="AG59" s="2762"/>
      <c r="AH59" s="2762"/>
      <c r="AI59" s="2762"/>
      <c r="AJ59" s="2762"/>
      <c r="AK59" s="2762"/>
      <c r="AL59" s="2762"/>
      <c r="AM59" s="2762"/>
      <c r="AN59" s="2762"/>
      <c r="AO59" s="2762"/>
      <c r="AP59" s="2762"/>
      <c r="AQ59" s="2762"/>
      <c r="AR59" s="2762"/>
      <c r="AS59" s="2762"/>
      <c r="AT59" s="2762"/>
      <c r="AU59" s="2762"/>
      <c r="AV59" s="2762"/>
      <c r="AW59" s="2763"/>
      <c r="AX59" s="1528"/>
      <c r="AY59" s="1528"/>
      <c r="AZ59" s="1528"/>
      <c r="BA59" s="1528"/>
      <c r="BB59" s="1528"/>
      <c r="BC59" s="1528"/>
      <c r="BD59" s="1528"/>
      <c r="BE59" s="1534"/>
    </row>
    <row r="60" spans="1:58" ht="15.75" customHeight="1">
      <c r="A60" s="1817"/>
      <c r="B60" s="2764" t="str">
        <f>IF(B52="", "", B52)</f>
        <v/>
      </c>
      <c r="C60" s="2765"/>
      <c r="D60" s="2765"/>
      <c r="E60" s="2765"/>
      <c r="F60" s="2765"/>
      <c r="G60" s="2765"/>
      <c r="H60" s="2765"/>
      <c r="I60" s="2766"/>
      <c r="J60" s="2767"/>
      <c r="K60" s="2756"/>
      <c r="L60" s="2756"/>
      <c r="M60" s="2756"/>
      <c r="N60" s="2756"/>
      <c r="O60" s="2756"/>
      <c r="P60" s="2756"/>
      <c r="Q60" s="2756"/>
      <c r="R60" s="2756"/>
      <c r="S60" s="2756"/>
      <c r="T60" s="2756"/>
      <c r="U60" s="2756"/>
      <c r="V60" s="2756"/>
      <c r="W60" s="2756"/>
      <c r="X60" s="2756"/>
      <c r="Y60" s="2756"/>
      <c r="Z60" s="2756"/>
      <c r="AA60" s="2756"/>
      <c r="AB60" s="2756"/>
      <c r="AC60" s="2756"/>
      <c r="AD60" s="2756"/>
      <c r="AE60" s="2756"/>
      <c r="AF60" s="2756"/>
      <c r="AG60" s="2756"/>
      <c r="AH60" s="2756"/>
      <c r="AI60" s="2756"/>
      <c r="AJ60" s="2756"/>
      <c r="AK60" s="2756"/>
      <c r="AL60" s="2756"/>
      <c r="AM60" s="2756"/>
      <c r="AN60" s="2756"/>
      <c r="AO60" s="2756"/>
      <c r="AP60" s="2756"/>
      <c r="AQ60" s="2756"/>
      <c r="AR60" s="2756"/>
      <c r="AS60" s="2756"/>
      <c r="AT60" s="2756"/>
      <c r="AU60" s="2756"/>
      <c r="AV60" s="2756"/>
      <c r="AW60" s="2758"/>
      <c r="AX60" s="1528"/>
      <c r="AY60" s="1528"/>
      <c r="AZ60" s="1528"/>
      <c r="BA60" s="1528"/>
      <c r="BB60" s="1528"/>
      <c r="BC60" s="1528"/>
      <c r="BD60" s="1528"/>
      <c r="BE60" s="1534"/>
    </row>
    <row r="61" spans="1:58" ht="15.75" customHeight="1">
      <c r="A61" s="1817"/>
      <c r="B61" s="2764" t="str">
        <f t="shared" ref="B61:B64" si="8">IF(B53="", "", B53)</f>
        <v/>
      </c>
      <c r="C61" s="2765"/>
      <c r="D61" s="2765"/>
      <c r="E61" s="2765"/>
      <c r="F61" s="2765"/>
      <c r="G61" s="2765"/>
      <c r="H61" s="2765"/>
      <c r="I61" s="2766"/>
      <c r="J61" s="2767"/>
      <c r="K61" s="2756"/>
      <c r="L61" s="2756"/>
      <c r="M61" s="2756"/>
      <c r="N61" s="2756"/>
      <c r="O61" s="2756"/>
      <c r="P61" s="2756"/>
      <c r="Q61" s="2756"/>
      <c r="R61" s="2756"/>
      <c r="S61" s="2756"/>
      <c r="T61" s="2756"/>
      <c r="U61" s="2756"/>
      <c r="V61" s="2756"/>
      <c r="W61" s="2756"/>
      <c r="X61" s="2756"/>
      <c r="Y61" s="2756"/>
      <c r="Z61" s="2756"/>
      <c r="AA61" s="2756"/>
      <c r="AB61" s="2756"/>
      <c r="AC61" s="2756"/>
      <c r="AD61" s="2756"/>
      <c r="AE61" s="2756"/>
      <c r="AF61" s="2756"/>
      <c r="AG61" s="2756"/>
      <c r="AH61" s="2756"/>
      <c r="AI61" s="2756"/>
      <c r="AJ61" s="2756"/>
      <c r="AK61" s="2756"/>
      <c r="AL61" s="2756"/>
      <c r="AM61" s="2756"/>
      <c r="AN61" s="2756"/>
      <c r="AO61" s="2756"/>
      <c r="AP61" s="2756"/>
      <c r="AQ61" s="2756"/>
      <c r="AR61" s="2756"/>
      <c r="AS61" s="2756"/>
      <c r="AT61" s="2756"/>
      <c r="AU61" s="2756"/>
      <c r="AV61" s="2756"/>
      <c r="AW61" s="2758"/>
      <c r="AX61" s="1528"/>
      <c r="AY61" s="1528"/>
      <c r="AZ61" s="1528"/>
      <c r="BA61" s="1528"/>
      <c r="BB61" s="1528"/>
      <c r="BC61" s="1528"/>
      <c r="BD61" s="1528"/>
      <c r="BE61" s="1534"/>
    </row>
    <row r="62" spans="1:58" ht="15.75" customHeight="1">
      <c r="A62" s="1817"/>
      <c r="B62" s="2764" t="str">
        <f t="shared" si="8"/>
        <v/>
      </c>
      <c r="C62" s="2765"/>
      <c r="D62" s="2765"/>
      <c r="E62" s="2765"/>
      <c r="F62" s="2765"/>
      <c r="G62" s="2765"/>
      <c r="H62" s="2765"/>
      <c r="I62" s="2766"/>
      <c r="J62" s="2767"/>
      <c r="K62" s="2756"/>
      <c r="L62" s="2756"/>
      <c r="M62" s="2756"/>
      <c r="N62" s="2756"/>
      <c r="O62" s="2756"/>
      <c r="P62" s="2756"/>
      <c r="Q62" s="2756"/>
      <c r="R62" s="2756"/>
      <c r="S62" s="2756"/>
      <c r="T62" s="2756"/>
      <c r="U62" s="2756"/>
      <c r="V62" s="2756"/>
      <c r="W62" s="2756"/>
      <c r="X62" s="2756"/>
      <c r="Y62" s="2756"/>
      <c r="Z62" s="2756"/>
      <c r="AA62" s="2756"/>
      <c r="AB62" s="2756"/>
      <c r="AC62" s="2756"/>
      <c r="AD62" s="2756"/>
      <c r="AE62" s="2756"/>
      <c r="AF62" s="2756"/>
      <c r="AG62" s="2756"/>
      <c r="AH62" s="2756"/>
      <c r="AI62" s="2756"/>
      <c r="AJ62" s="2756"/>
      <c r="AK62" s="2756"/>
      <c r="AL62" s="2756"/>
      <c r="AM62" s="2756"/>
      <c r="AN62" s="2756"/>
      <c r="AO62" s="2756"/>
      <c r="AP62" s="2756"/>
      <c r="AQ62" s="2756"/>
      <c r="AR62" s="2756"/>
      <c r="AS62" s="2756"/>
      <c r="AT62" s="2756"/>
      <c r="AU62" s="2756"/>
      <c r="AV62" s="2756"/>
      <c r="AW62" s="2758"/>
      <c r="AX62" s="1528"/>
      <c r="AY62" s="1528"/>
      <c r="AZ62" s="1528"/>
      <c r="BA62" s="1528"/>
      <c r="BB62" s="1528"/>
      <c r="BC62" s="1528"/>
      <c r="BD62" s="1528"/>
      <c r="BE62" s="1534"/>
    </row>
    <row r="63" spans="1:58" ht="15.75" customHeight="1">
      <c r="A63" s="1817"/>
      <c r="B63" s="2764" t="str">
        <f t="shared" si="8"/>
        <v/>
      </c>
      <c r="C63" s="2765"/>
      <c r="D63" s="2765"/>
      <c r="E63" s="2765"/>
      <c r="F63" s="2765"/>
      <c r="G63" s="2765"/>
      <c r="H63" s="2765"/>
      <c r="I63" s="2766"/>
      <c r="J63" s="2767"/>
      <c r="K63" s="2756"/>
      <c r="L63" s="2756"/>
      <c r="M63" s="2756"/>
      <c r="N63" s="2756"/>
      <c r="O63" s="2756"/>
      <c r="P63" s="2756"/>
      <c r="Q63" s="2756"/>
      <c r="R63" s="2756"/>
      <c r="S63" s="2756"/>
      <c r="T63" s="2756"/>
      <c r="U63" s="2756"/>
      <c r="V63" s="2756"/>
      <c r="W63" s="2756"/>
      <c r="X63" s="2756"/>
      <c r="Y63" s="2756"/>
      <c r="Z63" s="2756"/>
      <c r="AA63" s="2756"/>
      <c r="AB63" s="2756"/>
      <c r="AC63" s="2756"/>
      <c r="AD63" s="2756"/>
      <c r="AE63" s="2756"/>
      <c r="AF63" s="2756"/>
      <c r="AG63" s="2756"/>
      <c r="AH63" s="2756"/>
      <c r="AI63" s="2756"/>
      <c r="AJ63" s="2756"/>
      <c r="AK63" s="2756"/>
      <c r="AL63" s="2756"/>
      <c r="AM63" s="2756"/>
      <c r="AN63" s="2756"/>
      <c r="AO63" s="2756"/>
      <c r="AP63" s="2756"/>
      <c r="AQ63" s="2756"/>
      <c r="AR63" s="2756"/>
      <c r="AS63" s="2756"/>
      <c r="AT63" s="2756"/>
      <c r="AU63" s="2756"/>
      <c r="AV63" s="2756"/>
      <c r="AW63" s="2758"/>
      <c r="AX63" s="1528"/>
      <c r="AY63" s="1528"/>
      <c r="AZ63" s="1528"/>
      <c r="BA63" s="1528"/>
      <c r="BB63" s="1528"/>
      <c r="BC63" s="1528"/>
      <c r="BD63" s="1528"/>
      <c r="BE63" s="1534"/>
    </row>
    <row r="64" spans="1:58" ht="15.75" customHeight="1" thickBot="1">
      <c r="A64" s="1817"/>
      <c r="B64" s="2787" t="str">
        <f t="shared" si="8"/>
        <v/>
      </c>
      <c r="C64" s="2788"/>
      <c r="D64" s="2788"/>
      <c r="E64" s="2788"/>
      <c r="F64" s="2788"/>
      <c r="G64" s="2788"/>
      <c r="H64" s="2788"/>
      <c r="I64" s="2789"/>
      <c r="J64" s="2790"/>
      <c r="K64" s="2769"/>
      <c r="L64" s="2769"/>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71"/>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2" t="s">
        <v>2079</v>
      </c>
      <c r="C68" s="2643"/>
      <c r="D68" s="2643"/>
      <c r="E68" s="2643"/>
      <c r="F68" s="2643"/>
      <c r="G68" s="2643"/>
      <c r="H68" s="2643"/>
      <c r="I68" s="2643"/>
      <c r="J68" s="2643"/>
      <c r="K68" s="2643"/>
      <c r="L68" s="2643"/>
      <c r="M68" s="2643"/>
      <c r="N68" s="2643"/>
      <c r="O68" s="2643"/>
      <c r="P68" s="2643"/>
      <c r="Q68" s="2643"/>
      <c r="R68" s="2643"/>
      <c r="S68" s="2643"/>
      <c r="T68" s="2643"/>
      <c r="U68" s="2643"/>
      <c r="V68" s="2643"/>
      <c r="W68" s="2643"/>
      <c r="X68" s="2643"/>
      <c r="Y68" s="2643"/>
      <c r="Z68" s="2643"/>
      <c r="AA68" s="2644"/>
      <c r="AB68" s="1528"/>
      <c r="AC68" s="2801" t="s">
        <v>2080</v>
      </c>
      <c r="AD68" s="2802"/>
      <c r="AE68" s="2802"/>
      <c r="AF68" s="2802"/>
      <c r="AG68" s="2802"/>
      <c r="AH68" s="2802"/>
      <c r="AI68" s="2802"/>
      <c r="AJ68" s="2802"/>
      <c r="AK68" s="2802"/>
      <c r="AL68" s="2802"/>
      <c r="AM68" s="2802"/>
      <c r="AN68" s="2802"/>
      <c r="AO68" s="2802"/>
      <c r="AP68" s="2802"/>
      <c r="AQ68" s="2802"/>
      <c r="AR68" s="2802"/>
      <c r="AS68" s="2802"/>
      <c r="AT68" s="2802"/>
      <c r="AU68" s="2802"/>
      <c r="AV68" s="2775" t="s">
        <v>2036</v>
      </c>
      <c r="AW68" s="2775"/>
      <c r="AX68" s="2775"/>
      <c r="AY68" s="2775"/>
      <c r="AZ68" s="2775"/>
      <c r="BA68" s="2775"/>
      <c r="BB68" s="2775"/>
      <c r="BC68" s="2776"/>
      <c r="BD68" s="1528"/>
      <c r="BE68" s="1534"/>
    </row>
    <row r="69" spans="1:57" ht="15.75" customHeight="1" thickBot="1">
      <c r="A69" s="1817"/>
      <c r="B69" s="2777" t="s">
        <v>2081</v>
      </c>
      <c r="C69" s="2778"/>
      <c r="D69" s="2778"/>
      <c r="E69" s="2778"/>
      <c r="F69" s="2778"/>
      <c r="G69" s="2778"/>
      <c r="H69" s="2778"/>
      <c r="I69" s="2778"/>
      <c r="J69" s="2778"/>
      <c r="K69" s="2778"/>
      <c r="L69" s="2778"/>
      <c r="M69" s="2778"/>
      <c r="N69" s="2778"/>
      <c r="O69" s="2779" t="s">
        <v>2082</v>
      </c>
      <c r="P69" s="2780"/>
      <c r="Q69" s="2780"/>
      <c r="R69" s="2780"/>
      <c r="S69" s="2780"/>
      <c r="T69" s="2780"/>
      <c r="U69" s="2780"/>
      <c r="V69" s="2780"/>
      <c r="W69" s="2780"/>
      <c r="X69" s="2780"/>
      <c r="Y69" s="2780"/>
      <c r="Z69" s="2780"/>
      <c r="AA69" s="2781"/>
      <c r="AB69" s="1528"/>
      <c r="AC69" s="2782" t="s">
        <v>2083</v>
      </c>
      <c r="AD69" s="2783"/>
      <c r="AE69" s="2783"/>
      <c r="AF69" s="2783"/>
      <c r="AG69" s="2783"/>
      <c r="AH69" s="2783"/>
      <c r="AI69" s="2783"/>
      <c r="AJ69" s="2783"/>
      <c r="AK69" s="2783"/>
      <c r="AL69" s="2783"/>
      <c r="AM69" s="2783"/>
      <c r="AN69" s="2783"/>
      <c r="AO69" s="2783"/>
      <c r="AP69" s="2783"/>
      <c r="AQ69" s="2783"/>
      <c r="AR69" s="2783"/>
      <c r="AS69" s="2783"/>
      <c r="AT69" s="2783"/>
      <c r="AU69" s="2783"/>
      <c r="AV69" s="2784">
        <v>44197</v>
      </c>
      <c r="AW69" s="2785"/>
      <c r="AX69" s="2785"/>
      <c r="AY69" s="2785"/>
      <c r="AZ69" s="2785"/>
      <c r="BA69" s="2785"/>
      <c r="BB69" s="2785"/>
      <c r="BC69" s="2786"/>
      <c r="BD69" s="1528"/>
      <c r="BE69" s="1534"/>
    </row>
    <row r="70" spans="1:57" ht="15.75" customHeight="1">
      <c r="A70" s="1817"/>
      <c r="B70" s="2791"/>
      <c r="C70" s="2792"/>
      <c r="D70" s="2792"/>
      <c r="E70" s="2792"/>
      <c r="F70" s="2792"/>
      <c r="G70" s="2792"/>
      <c r="H70" s="2792"/>
      <c r="I70" s="2792"/>
      <c r="J70" s="2792"/>
      <c r="K70" s="2792"/>
      <c r="L70" s="2792"/>
      <c r="M70" s="2792"/>
      <c r="N70" s="2792"/>
      <c r="O70" s="2793"/>
      <c r="P70" s="2793"/>
      <c r="Q70" s="2793"/>
      <c r="R70" s="2793"/>
      <c r="S70" s="2793"/>
      <c r="T70" s="2793"/>
      <c r="U70" s="2793"/>
      <c r="V70" s="2793"/>
      <c r="W70" s="2793"/>
      <c r="X70" s="2793"/>
      <c r="Y70" s="2793"/>
      <c r="Z70" s="2793"/>
      <c r="AA70" s="2794"/>
      <c r="AB70" s="1528"/>
      <c r="AC70" s="2795" t="s">
        <v>2084</v>
      </c>
      <c r="AD70" s="2796"/>
      <c r="AE70" s="2796"/>
      <c r="AF70" s="2797"/>
      <c r="AG70" s="2797"/>
      <c r="AH70" s="2797"/>
      <c r="AI70" s="2797"/>
      <c r="AJ70" s="2797"/>
      <c r="AK70" s="2797"/>
      <c r="AL70" s="2797"/>
      <c r="AM70" s="2797"/>
      <c r="AN70" s="2797"/>
      <c r="AO70" s="2797"/>
      <c r="AP70" s="2797"/>
      <c r="AQ70" s="2797"/>
      <c r="AR70" s="2797"/>
      <c r="AS70" s="2797"/>
      <c r="AT70" s="2797"/>
      <c r="AU70" s="2798"/>
      <c r="AV70" s="1528"/>
      <c r="AW70" s="1528"/>
      <c r="AX70" s="1528"/>
      <c r="AY70" s="1528"/>
      <c r="AZ70" s="1528"/>
      <c r="BA70" s="1528"/>
      <c r="BB70" s="1528"/>
      <c r="BC70" s="1528"/>
      <c r="BD70" s="1528"/>
      <c r="BE70" s="1534"/>
    </row>
    <row r="71" spans="1:57" ht="15.75" customHeight="1" thickBot="1">
      <c r="A71" s="1817"/>
      <c r="B71" s="2724"/>
      <c r="C71" s="2722"/>
      <c r="D71" s="2722"/>
      <c r="E71" s="2722"/>
      <c r="F71" s="2722"/>
      <c r="G71" s="2722"/>
      <c r="H71" s="2722"/>
      <c r="I71" s="2722"/>
      <c r="J71" s="2722"/>
      <c r="K71" s="2722"/>
      <c r="L71" s="2722"/>
      <c r="M71" s="2722"/>
      <c r="N71" s="2722"/>
      <c r="O71" s="2793"/>
      <c r="P71" s="2793"/>
      <c r="Q71" s="2793"/>
      <c r="R71" s="2793"/>
      <c r="S71" s="2793"/>
      <c r="T71" s="2793"/>
      <c r="U71" s="2793"/>
      <c r="V71" s="2793"/>
      <c r="W71" s="2793"/>
      <c r="X71" s="2793"/>
      <c r="Y71" s="2793"/>
      <c r="Z71" s="2793"/>
      <c r="AA71" s="2794"/>
      <c r="AB71" s="1528"/>
      <c r="AC71" s="2799" t="s">
        <v>2085</v>
      </c>
      <c r="AD71" s="2800"/>
      <c r="AE71" s="2800"/>
      <c r="AF71" s="2739"/>
      <c r="AG71" s="2739"/>
      <c r="AH71" s="2739"/>
      <c r="AI71" s="2739"/>
      <c r="AJ71" s="2739"/>
      <c r="AK71" s="2739"/>
      <c r="AL71" s="2739"/>
      <c r="AM71" s="2739"/>
      <c r="AN71" s="2739"/>
      <c r="AO71" s="2739"/>
      <c r="AP71" s="2739"/>
      <c r="AQ71" s="2739"/>
      <c r="AR71" s="2739"/>
      <c r="AS71" s="2739"/>
      <c r="AT71" s="2739"/>
      <c r="AU71" s="2740"/>
      <c r="AV71" s="1528"/>
      <c r="AW71" s="1528"/>
      <c r="AX71" s="1528"/>
      <c r="AY71" s="1528"/>
      <c r="AZ71" s="1528"/>
      <c r="BA71" s="1528"/>
      <c r="BB71" s="1528"/>
      <c r="BC71" s="1528"/>
      <c r="BD71" s="1528"/>
      <c r="BE71" s="1534"/>
    </row>
    <row r="72" spans="1:57" ht="15.75" customHeight="1">
      <c r="A72" s="1817"/>
      <c r="B72" s="2724"/>
      <c r="C72" s="2722"/>
      <c r="D72" s="2722"/>
      <c r="E72" s="2722"/>
      <c r="F72" s="2722"/>
      <c r="G72" s="2722"/>
      <c r="H72" s="2722"/>
      <c r="I72" s="2722"/>
      <c r="J72" s="2722"/>
      <c r="K72" s="2722"/>
      <c r="L72" s="2722"/>
      <c r="M72" s="2722"/>
      <c r="N72" s="2722"/>
      <c r="O72" s="2793"/>
      <c r="P72" s="2793"/>
      <c r="Q72" s="2793"/>
      <c r="R72" s="2793"/>
      <c r="S72" s="2793"/>
      <c r="T72" s="2793"/>
      <c r="U72" s="2793"/>
      <c r="V72" s="2793"/>
      <c r="W72" s="2793"/>
      <c r="X72" s="2793"/>
      <c r="Y72" s="2793"/>
      <c r="Z72" s="2793"/>
      <c r="AA72" s="2794"/>
      <c r="AB72" s="1528"/>
      <c r="AC72" s="2808" t="s">
        <v>2086</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28"/>
      <c r="BE72" s="1534"/>
    </row>
    <row r="73" spans="1:57" ht="15.75" customHeight="1">
      <c r="A73" s="1817"/>
      <c r="B73" s="2724"/>
      <c r="C73" s="2722"/>
      <c r="D73" s="2722"/>
      <c r="E73" s="2722"/>
      <c r="F73" s="2722"/>
      <c r="G73" s="2722"/>
      <c r="H73" s="2722"/>
      <c r="I73" s="2722"/>
      <c r="J73" s="2722"/>
      <c r="K73" s="2722"/>
      <c r="L73" s="2722"/>
      <c r="M73" s="2722"/>
      <c r="N73" s="2722"/>
      <c r="O73" s="2793"/>
      <c r="P73" s="2793"/>
      <c r="Q73" s="2793"/>
      <c r="R73" s="2793"/>
      <c r="S73" s="2793"/>
      <c r="T73" s="2793"/>
      <c r="U73" s="2793"/>
      <c r="V73" s="2793"/>
      <c r="W73" s="2793"/>
      <c r="X73" s="2793"/>
      <c r="Y73" s="2793"/>
      <c r="Z73" s="2793"/>
      <c r="AA73" s="2794"/>
      <c r="AB73" s="1528"/>
      <c r="AC73" s="2724"/>
      <c r="AD73" s="2722"/>
      <c r="AE73" s="2722"/>
      <c r="AF73" s="2722"/>
      <c r="AG73" s="2722"/>
      <c r="AH73" s="2722"/>
      <c r="AI73" s="2722"/>
      <c r="AJ73" s="2722"/>
      <c r="AK73" s="2722"/>
      <c r="AL73" s="2722"/>
      <c r="AM73" s="2722"/>
      <c r="AN73" s="2722"/>
      <c r="AO73" s="2722"/>
      <c r="AP73" s="2722"/>
      <c r="AQ73" s="2722"/>
      <c r="AR73" s="2722"/>
      <c r="AS73" s="2722"/>
      <c r="AT73" s="2722"/>
      <c r="AU73" s="2722"/>
      <c r="AV73" s="2722"/>
      <c r="AW73" s="2722"/>
      <c r="AX73" s="2722"/>
      <c r="AY73" s="2722"/>
      <c r="AZ73" s="2722"/>
      <c r="BA73" s="2722"/>
      <c r="BB73" s="2722"/>
      <c r="BC73" s="2723"/>
      <c r="BD73" s="1528"/>
      <c r="BE73" s="1534"/>
    </row>
    <row r="74" spans="1:57" ht="15.75" customHeight="1" thickBot="1">
      <c r="A74" s="1817"/>
      <c r="B74" s="2724"/>
      <c r="C74" s="2722"/>
      <c r="D74" s="2722"/>
      <c r="E74" s="2722"/>
      <c r="F74" s="2722"/>
      <c r="G74" s="2722"/>
      <c r="H74" s="2722"/>
      <c r="I74" s="2722"/>
      <c r="J74" s="2722"/>
      <c r="K74" s="2722"/>
      <c r="L74" s="2722"/>
      <c r="M74" s="2722"/>
      <c r="N74" s="2722"/>
      <c r="O74" s="2811"/>
      <c r="P74" s="2811"/>
      <c r="Q74" s="2811"/>
      <c r="R74" s="2811"/>
      <c r="S74" s="2811"/>
      <c r="T74" s="2811"/>
      <c r="U74" s="2811"/>
      <c r="V74" s="2811"/>
      <c r="W74" s="2811"/>
      <c r="X74" s="2811"/>
      <c r="Y74" s="2811"/>
      <c r="Z74" s="2811"/>
      <c r="AA74" s="2812"/>
      <c r="AB74" s="1528"/>
      <c r="AC74" s="2724"/>
      <c r="AD74" s="2722"/>
      <c r="AE74" s="2722"/>
      <c r="AF74" s="2722"/>
      <c r="AG74" s="2722"/>
      <c r="AH74" s="2722"/>
      <c r="AI74" s="2722"/>
      <c r="AJ74" s="2722"/>
      <c r="AK74" s="2722"/>
      <c r="AL74" s="2722"/>
      <c r="AM74" s="2722"/>
      <c r="AN74" s="2722"/>
      <c r="AO74" s="2722"/>
      <c r="AP74" s="2722"/>
      <c r="AQ74" s="2722"/>
      <c r="AR74" s="2722"/>
      <c r="AS74" s="2722"/>
      <c r="AT74" s="2722"/>
      <c r="AU74" s="2722"/>
      <c r="AV74" s="2722"/>
      <c r="AW74" s="2722"/>
      <c r="AX74" s="2722"/>
      <c r="AY74" s="2722"/>
      <c r="AZ74" s="2722"/>
      <c r="BA74" s="2722"/>
      <c r="BB74" s="2722"/>
      <c r="BC74" s="2723"/>
      <c r="BD74" s="1528"/>
      <c r="BE74" s="1534"/>
    </row>
    <row r="75" spans="1:57" ht="15.75" customHeight="1" thickTop="1" thickBot="1">
      <c r="A75" s="1817"/>
      <c r="B75" s="2813" t="s">
        <v>129</v>
      </c>
      <c r="C75" s="2814"/>
      <c r="D75" s="2814"/>
      <c r="E75" s="2814"/>
      <c r="F75" s="2814"/>
      <c r="G75" s="2814"/>
      <c r="H75" s="2814"/>
      <c r="I75" s="2814"/>
      <c r="J75" s="2814"/>
      <c r="K75" s="2814"/>
      <c r="L75" s="2814"/>
      <c r="M75" s="2814"/>
      <c r="N75" s="2814"/>
      <c r="O75" s="2815">
        <f>SUM(O70:AA74)</f>
        <v>0</v>
      </c>
      <c r="P75" s="2816"/>
      <c r="Q75" s="2816"/>
      <c r="R75" s="2816"/>
      <c r="S75" s="2816"/>
      <c r="T75" s="2816"/>
      <c r="U75" s="2816"/>
      <c r="V75" s="2816"/>
      <c r="W75" s="2816"/>
      <c r="X75" s="2816"/>
      <c r="Y75" s="2816"/>
      <c r="Z75" s="2816"/>
      <c r="AA75" s="2817"/>
      <c r="AB75" s="1528"/>
      <c r="AC75" s="2724"/>
      <c r="AD75" s="2722"/>
      <c r="AE75" s="2722"/>
      <c r="AF75" s="2722"/>
      <c r="AG75" s="2722"/>
      <c r="AH75" s="2722"/>
      <c r="AI75" s="2722"/>
      <c r="AJ75" s="2722"/>
      <c r="AK75" s="2722"/>
      <c r="AL75" s="2722"/>
      <c r="AM75" s="2722"/>
      <c r="AN75" s="2722"/>
      <c r="AO75" s="2722"/>
      <c r="AP75" s="2722"/>
      <c r="AQ75" s="2722"/>
      <c r="AR75" s="2722"/>
      <c r="AS75" s="2722"/>
      <c r="AT75" s="2722"/>
      <c r="AU75" s="2722"/>
      <c r="AV75" s="2722"/>
      <c r="AW75" s="2722"/>
      <c r="AX75" s="2722"/>
      <c r="AY75" s="2722"/>
      <c r="AZ75" s="2722"/>
      <c r="BA75" s="2722"/>
      <c r="BB75" s="2722"/>
      <c r="BC75" s="2723"/>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4"/>
      <c r="AD76" s="2722"/>
      <c r="AE76" s="2722"/>
      <c r="AF76" s="2722"/>
      <c r="AG76" s="2722"/>
      <c r="AH76" s="2722"/>
      <c r="AI76" s="2722"/>
      <c r="AJ76" s="2722"/>
      <c r="AK76" s="2722"/>
      <c r="AL76" s="2722"/>
      <c r="AM76" s="2722"/>
      <c r="AN76" s="2722"/>
      <c r="AO76" s="2722"/>
      <c r="AP76" s="2722"/>
      <c r="AQ76" s="2722"/>
      <c r="AR76" s="2722"/>
      <c r="AS76" s="2722"/>
      <c r="AT76" s="2722"/>
      <c r="AU76" s="2722"/>
      <c r="AV76" s="2722"/>
      <c r="AW76" s="2722"/>
      <c r="AX76" s="2722"/>
      <c r="AY76" s="2722"/>
      <c r="AZ76" s="2722"/>
      <c r="BA76" s="2722"/>
      <c r="BB76" s="2722"/>
      <c r="BC76" s="2723"/>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1"/>
      <c r="AD77" s="2739"/>
      <c r="AE77" s="2739"/>
      <c r="AF77" s="2739"/>
      <c r="AG77" s="2739"/>
      <c r="AH77" s="2739"/>
      <c r="AI77" s="2739"/>
      <c r="AJ77" s="2739"/>
      <c r="AK77" s="2739"/>
      <c r="AL77" s="2739"/>
      <c r="AM77" s="2739"/>
      <c r="AN77" s="2739"/>
      <c r="AO77" s="2739"/>
      <c r="AP77" s="2739"/>
      <c r="AQ77" s="2739"/>
      <c r="AR77" s="2739"/>
      <c r="AS77" s="2739"/>
      <c r="AT77" s="2739"/>
      <c r="AU77" s="2739"/>
      <c r="AV77" s="2739"/>
      <c r="AW77" s="2739"/>
      <c r="AX77" s="2739"/>
      <c r="AY77" s="2739"/>
      <c r="AZ77" s="2739"/>
      <c r="BA77" s="2739"/>
      <c r="BB77" s="2739"/>
      <c r="BC77" s="2740"/>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3" t="s">
        <v>2088</v>
      </c>
      <c r="C79" s="2614"/>
      <c r="D79" s="2614"/>
      <c r="E79" s="2614"/>
      <c r="F79" s="2614"/>
      <c r="G79" s="2614"/>
      <c r="H79" s="2614"/>
      <c r="I79" s="2614"/>
      <c r="J79" s="2614"/>
      <c r="K79" s="2614"/>
      <c r="L79" s="2614"/>
      <c r="M79" s="2614"/>
      <c r="N79" s="2614"/>
      <c r="O79" s="2614"/>
      <c r="P79" s="2614"/>
      <c r="Q79" s="2614"/>
      <c r="R79" s="2614"/>
      <c r="S79" s="2614"/>
      <c r="T79" s="2614"/>
      <c r="U79" s="2614"/>
      <c r="V79" s="2614"/>
      <c r="W79" s="2614"/>
      <c r="X79" s="2614"/>
      <c r="Y79" s="2614"/>
      <c r="Z79" s="2614"/>
      <c r="AA79" s="2614"/>
      <c r="AB79" s="2803"/>
      <c r="AC79" s="2803"/>
      <c r="AD79" s="2803"/>
      <c r="AE79" s="2803"/>
      <c r="AF79" s="2803"/>
      <c r="AG79" s="2804"/>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3"/>
      <c r="C80" s="2614"/>
      <c r="D80" s="2614"/>
      <c r="E80" s="2614"/>
      <c r="F80" s="2614"/>
      <c r="G80" s="2614"/>
      <c r="H80" s="2615"/>
      <c r="I80" s="2805" t="s">
        <v>2089</v>
      </c>
      <c r="J80" s="2806"/>
      <c r="K80" s="2806"/>
      <c r="L80" s="2806"/>
      <c r="M80" s="2806"/>
      <c r="N80" s="2807"/>
      <c r="O80" s="2805" t="s">
        <v>2090</v>
      </c>
      <c r="P80" s="2806"/>
      <c r="Q80" s="2806"/>
      <c r="R80" s="2806"/>
      <c r="S80" s="2806"/>
      <c r="T80" s="2806"/>
      <c r="U80" s="2807"/>
      <c r="V80" s="2805" t="s">
        <v>2091</v>
      </c>
      <c r="W80" s="2806"/>
      <c r="X80" s="2806"/>
      <c r="Y80" s="2806"/>
      <c r="Z80" s="2806"/>
      <c r="AA80" s="2807"/>
      <c r="AB80" s="2805" t="s">
        <v>2092</v>
      </c>
      <c r="AC80" s="2806"/>
      <c r="AD80" s="2806"/>
      <c r="AE80" s="2806"/>
      <c r="AF80" s="2806"/>
      <c r="AG80" s="2807"/>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5" t="s">
        <v>2093</v>
      </c>
      <c r="C81" s="2806"/>
      <c r="D81" s="2806"/>
      <c r="E81" s="2806"/>
      <c r="F81" s="2806"/>
      <c r="G81" s="2806"/>
      <c r="H81" s="2807"/>
      <c r="I81" s="2824"/>
      <c r="J81" s="2825"/>
      <c r="K81" s="2825"/>
      <c r="L81" s="2825"/>
      <c r="M81" s="2825"/>
      <c r="N81" s="2825"/>
      <c r="O81" s="2825"/>
      <c r="P81" s="2825"/>
      <c r="Q81" s="2825"/>
      <c r="R81" s="2825"/>
      <c r="S81" s="2825"/>
      <c r="T81" s="2825"/>
      <c r="U81" s="2825"/>
      <c r="V81" s="2825"/>
      <c r="W81" s="2825"/>
      <c r="X81" s="2825"/>
      <c r="Y81" s="2825"/>
      <c r="Z81" s="2825"/>
      <c r="AA81" s="2826"/>
      <c r="AB81" s="2825"/>
      <c r="AC81" s="2825"/>
      <c r="AD81" s="2825"/>
      <c r="AE81" s="2825"/>
      <c r="AF81" s="2825"/>
      <c r="AG81" s="2826"/>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5" t="s">
        <v>2094</v>
      </c>
      <c r="C82" s="2806"/>
      <c r="D82" s="2806"/>
      <c r="E82" s="2806"/>
      <c r="F82" s="2806"/>
      <c r="G82" s="2806"/>
      <c r="H82" s="2807"/>
      <c r="I82" s="2827"/>
      <c r="J82" s="2828"/>
      <c r="K82" s="2828"/>
      <c r="L82" s="2828"/>
      <c r="M82" s="2828"/>
      <c r="N82" s="2828"/>
      <c r="O82" s="2828"/>
      <c r="P82" s="2828"/>
      <c r="Q82" s="2828"/>
      <c r="R82" s="2828"/>
      <c r="S82" s="2828"/>
      <c r="T82" s="2828"/>
      <c r="U82" s="2828"/>
      <c r="V82" s="2828"/>
      <c r="W82" s="2828"/>
      <c r="X82" s="2828"/>
      <c r="Y82" s="2828"/>
      <c r="Z82" s="2828"/>
      <c r="AA82" s="2829"/>
      <c r="AB82" s="2828"/>
      <c r="AC82" s="2828"/>
      <c r="AD82" s="2828"/>
      <c r="AE82" s="2828"/>
      <c r="AF82" s="2828"/>
      <c r="AG82" s="2829"/>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8" t="s">
        <v>2096</v>
      </c>
      <c r="C86" s="2819"/>
      <c r="D86" s="2819"/>
      <c r="E86" s="2819"/>
      <c r="F86" s="2819"/>
      <c r="G86" s="2819"/>
      <c r="H86" s="2819"/>
      <c r="I86" s="2819"/>
      <c r="J86" s="2819"/>
      <c r="K86" s="2819"/>
      <c r="L86" s="2819"/>
      <c r="M86" s="2819"/>
      <c r="N86" s="2819"/>
      <c r="O86" s="2819"/>
      <c r="P86" s="2819"/>
      <c r="Q86" s="2819"/>
      <c r="R86" s="2819"/>
      <c r="S86" s="2819"/>
      <c r="T86" s="2819"/>
      <c r="U86" s="2819"/>
      <c r="V86" s="2819"/>
      <c r="W86" s="2819"/>
      <c r="X86" s="2819"/>
      <c r="Y86" s="2819"/>
      <c r="Z86" s="2819"/>
      <c r="AA86" s="2819"/>
      <c r="AB86" s="2819"/>
      <c r="AC86" s="2819"/>
      <c r="AD86" s="2819"/>
      <c r="AE86" s="2819"/>
      <c r="AF86" s="2819"/>
      <c r="AG86" s="2819"/>
      <c r="AH86" s="2820"/>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3"/>
      <c r="C87" s="2614"/>
      <c r="D87" s="2614"/>
      <c r="E87" s="2614"/>
      <c r="F87" s="2614"/>
      <c r="G87" s="2614"/>
      <c r="H87" s="2615"/>
      <c r="I87" s="2805" t="s">
        <v>2089</v>
      </c>
      <c r="J87" s="2806"/>
      <c r="K87" s="2806"/>
      <c r="L87" s="2806"/>
      <c r="M87" s="2806"/>
      <c r="N87" s="2807"/>
      <c r="O87" s="2805" t="s">
        <v>2090</v>
      </c>
      <c r="P87" s="2806"/>
      <c r="Q87" s="2806"/>
      <c r="R87" s="2806"/>
      <c r="S87" s="2806"/>
      <c r="T87" s="2806"/>
      <c r="U87" s="2807"/>
      <c r="V87" s="2805" t="s">
        <v>2091</v>
      </c>
      <c r="W87" s="2806"/>
      <c r="X87" s="2806"/>
      <c r="Y87" s="2806"/>
      <c r="Z87" s="2806"/>
      <c r="AA87" s="2807"/>
      <c r="AB87" s="2821" t="s">
        <v>2092</v>
      </c>
      <c r="AC87" s="2822"/>
      <c r="AD87" s="2822"/>
      <c r="AE87" s="2822"/>
      <c r="AF87" s="2822"/>
      <c r="AG87" s="2822"/>
      <c r="AH87" s="2823"/>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5" t="s">
        <v>2093</v>
      </c>
      <c r="C88" s="2806"/>
      <c r="D88" s="2806"/>
      <c r="E88" s="2806"/>
      <c r="F88" s="2806"/>
      <c r="G88" s="2806"/>
      <c r="H88" s="2807"/>
      <c r="I88" s="2824"/>
      <c r="J88" s="2825"/>
      <c r="K88" s="2825"/>
      <c r="L88" s="2825"/>
      <c r="M88" s="2825"/>
      <c r="N88" s="2825"/>
      <c r="O88" s="2825"/>
      <c r="P88" s="2825"/>
      <c r="Q88" s="2825"/>
      <c r="R88" s="2825"/>
      <c r="S88" s="2825"/>
      <c r="T88" s="2825"/>
      <c r="U88" s="2825"/>
      <c r="V88" s="2825"/>
      <c r="W88" s="2825"/>
      <c r="X88" s="2825"/>
      <c r="Y88" s="2825"/>
      <c r="Z88" s="2825"/>
      <c r="AA88" s="2830"/>
      <c r="AB88" s="2797"/>
      <c r="AC88" s="2797"/>
      <c r="AD88" s="2797"/>
      <c r="AE88" s="2797"/>
      <c r="AF88" s="2797"/>
      <c r="AG88" s="2797"/>
      <c r="AH88" s="2798"/>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5" t="s">
        <v>2094</v>
      </c>
      <c r="C89" s="2806"/>
      <c r="D89" s="2806"/>
      <c r="E89" s="2806"/>
      <c r="F89" s="2806"/>
      <c r="G89" s="2806"/>
      <c r="H89" s="2807"/>
      <c r="I89" s="2827"/>
      <c r="J89" s="2828"/>
      <c r="K89" s="2828"/>
      <c r="L89" s="2828"/>
      <c r="M89" s="2828"/>
      <c r="N89" s="2828"/>
      <c r="O89" s="2828"/>
      <c r="P89" s="2828"/>
      <c r="Q89" s="2828"/>
      <c r="R89" s="2828"/>
      <c r="S89" s="2828"/>
      <c r="T89" s="2828"/>
      <c r="U89" s="2828"/>
      <c r="V89" s="2828"/>
      <c r="W89" s="2828"/>
      <c r="X89" s="2828"/>
      <c r="Y89" s="2828"/>
      <c r="Z89" s="2828"/>
      <c r="AA89" s="2831"/>
      <c r="AB89" s="2739"/>
      <c r="AC89" s="2739"/>
      <c r="AD89" s="2739"/>
      <c r="AE89" s="2739"/>
      <c r="AF89" s="2739"/>
      <c r="AG89" s="2739"/>
      <c r="AH89" s="2740"/>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3" t="s">
        <v>2098</v>
      </c>
      <c r="C93" s="2614"/>
      <c r="D93" s="2614"/>
      <c r="E93" s="2614"/>
      <c r="F93" s="2614"/>
      <c r="G93" s="2614"/>
      <c r="H93" s="2614"/>
      <c r="I93" s="2614"/>
      <c r="J93" s="2614"/>
      <c r="K93" s="2614"/>
      <c r="L93" s="2614"/>
      <c r="M93" s="2614"/>
      <c r="N93" s="2614"/>
      <c r="O93" s="2614"/>
      <c r="P93" s="2614"/>
      <c r="Q93" s="2614"/>
      <c r="R93" s="2614"/>
      <c r="S93" s="2614"/>
      <c r="T93" s="2614"/>
      <c r="U93" s="2614"/>
      <c r="V93" s="2614"/>
      <c r="W93" s="2614"/>
      <c r="X93" s="2614"/>
      <c r="Y93" s="2614"/>
      <c r="Z93" s="2614"/>
      <c r="AA93" s="2614"/>
      <c r="AB93" s="2614"/>
      <c r="AC93" s="2614"/>
      <c r="AD93" s="2614"/>
      <c r="AE93" s="2614"/>
      <c r="AF93" s="2614"/>
      <c r="AG93" s="2614"/>
      <c r="AH93" s="261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3"/>
      <c r="C94" s="2614"/>
      <c r="D94" s="2614"/>
      <c r="E94" s="2614"/>
      <c r="F94" s="2614"/>
      <c r="G94" s="2614"/>
      <c r="H94" s="2615"/>
      <c r="I94" s="2805" t="s">
        <v>2089</v>
      </c>
      <c r="J94" s="2806"/>
      <c r="K94" s="2806"/>
      <c r="L94" s="2806"/>
      <c r="M94" s="2806"/>
      <c r="N94" s="2807"/>
      <c r="O94" s="2805" t="s">
        <v>2090</v>
      </c>
      <c r="P94" s="2806"/>
      <c r="Q94" s="2806"/>
      <c r="R94" s="2806"/>
      <c r="S94" s="2806"/>
      <c r="T94" s="2806"/>
      <c r="U94" s="2807"/>
      <c r="V94" s="2805" t="s">
        <v>2091</v>
      </c>
      <c r="W94" s="2806"/>
      <c r="X94" s="2806"/>
      <c r="Y94" s="2806"/>
      <c r="Z94" s="2806"/>
      <c r="AA94" s="2807"/>
      <c r="AB94" s="2821" t="s">
        <v>2092</v>
      </c>
      <c r="AC94" s="2822"/>
      <c r="AD94" s="2822"/>
      <c r="AE94" s="2822"/>
      <c r="AF94" s="2822"/>
      <c r="AG94" s="2822"/>
      <c r="AH94" s="2823"/>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5" t="s">
        <v>2093</v>
      </c>
      <c r="C95" s="2806"/>
      <c r="D95" s="2806"/>
      <c r="E95" s="2806"/>
      <c r="F95" s="2806"/>
      <c r="G95" s="2806"/>
      <c r="H95" s="2807"/>
      <c r="I95" s="2824"/>
      <c r="J95" s="2825"/>
      <c r="K95" s="2825"/>
      <c r="L95" s="2825"/>
      <c r="M95" s="2825"/>
      <c r="N95" s="2825"/>
      <c r="O95" s="2825"/>
      <c r="P95" s="2825"/>
      <c r="Q95" s="2825"/>
      <c r="R95" s="2825"/>
      <c r="S95" s="2825"/>
      <c r="T95" s="2825"/>
      <c r="U95" s="2825"/>
      <c r="V95" s="2825"/>
      <c r="W95" s="2825"/>
      <c r="X95" s="2825"/>
      <c r="Y95" s="2825"/>
      <c r="Z95" s="2825"/>
      <c r="AA95" s="2826"/>
      <c r="AB95" s="2797"/>
      <c r="AC95" s="2797"/>
      <c r="AD95" s="2797"/>
      <c r="AE95" s="2797"/>
      <c r="AF95" s="2797"/>
      <c r="AG95" s="2797"/>
      <c r="AH95" s="2798"/>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5" t="s">
        <v>2094</v>
      </c>
      <c r="C96" s="2806"/>
      <c r="D96" s="2806"/>
      <c r="E96" s="2806"/>
      <c r="F96" s="2806"/>
      <c r="G96" s="2806"/>
      <c r="H96" s="2807"/>
      <c r="I96" s="2827"/>
      <c r="J96" s="2828"/>
      <c r="K96" s="2828"/>
      <c r="L96" s="2828"/>
      <c r="M96" s="2828"/>
      <c r="N96" s="2828"/>
      <c r="O96" s="2828"/>
      <c r="P96" s="2828"/>
      <c r="Q96" s="2828"/>
      <c r="R96" s="2828"/>
      <c r="S96" s="2828"/>
      <c r="T96" s="2828"/>
      <c r="U96" s="2828"/>
      <c r="V96" s="2828"/>
      <c r="W96" s="2828"/>
      <c r="X96" s="2828"/>
      <c r="Y96" s="2828"/>
      <c r="Z96" s="2828"/>
      <c r="AA96" s="2829"/>
      <c r="AB96" s="2739"/>
      <c r="AC96" s="2739"/>
      <c r="AD96" s="2739"/>
      <c r="AE96" s="2739"/>
      <c r="AF96" s="2739"/>
      <c r="AG96" s="2739"/>
      <c r="AH96" s="2740"/>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2" t="s">
        <v>2100</v>
      </c>
      <c r="C100" s="2643"/>
      <c r="D100" s="2643"/>
      <c r="E100" s="2643"/>
      <c r="F100" s="2643"/>
      <c r="G100" s="2643"/>
      <c r="H100" s="2643"/>
      <c r="I100" s="2643"/>
      <c r="J100" s="2643"/>
      <c r="K100" s="2643"/>
      <c r="L100" s="2643"/>
      <c r="M100" s="2643"/>
      <c r="N100" s="2643"/>
      <c r="O100" s="2643"/>
      <c r="P100" s="2643"/>
      <c r="Q100" s="2643"/>
      <c r="R100" s="2643"/>
      <c r="S100" s="2643"/>
      <c r="T100" s="2643"/>
      <c r="U100" s="2846"/>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7"/>
      <c r="C101" s="2848"/>
      <c r="D101" s="2848"/>
      <c r="E101" s="2848"/>
      <c r="F101" s="2848"/>
      <c r="G101" s="2848"/>
      <c r="H101" s="2849"/>
      <c r="I101" s="2779" t="s">
        <v>2090</v>
      </c>
      <c r="J101" s="2780"/>
      <c r="K101" s="2780"/>
      <c r="L101" s="2780"/>
      <c r="M101" s="2780"/>
      <c r="N101" s="2780"/>
      <c r="O101" s="2850"/>
      <c r="P101" s="2779" t="s">
        <v>2101</v>
      </c>
      <c r="Q101" s="2780"/>
      <c r="R101" s="2780"/>
      <c r="S101" s="2780"/>
      <c r="T101" s="2780"/>
      <c r="U101" s="2850"/>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1" t="s">
        <v>2093</v>
      </c>
      <c r="C102" s="2852"/>
      <c r="D102" s="2852"/>
      <c r="E102" s="2852"/>
      <c r="F102" s="2852"/>
      <c r="G102" s="2852"/>
      <c r="H102" s="2852"/>
      <c r="I102" s="2832"/>
      <c r="J102" s="2833"/>
      <c r="K102" s="2833"/>
      <c r="L102" s="2833"/>
      <c r="M102" s="2833"/>
      <c r="N102" s="2833"/>
      <c r="O102" s="2834"/>
      <c r="P102" s="2832"/>
      <c r="Q102" s="2833"/>
      <c r="R102" s="2833"/>
      <c r="S102" s="2833"/>
      <c r="T102" s="2833"/>
      <c r="U102" s="283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2" t="s">
        <v>2094</v>
      </c>
      <c r="C103" s="2783"/>
      <c r="D103" s="2783"/>
      <c r="E103" s="2783"/>
      <c r="F103" s="2783"/>
      <c r="G103" s="2783"/>
      <c r="H103" s="2783"/>
      <c r="I103" s="2832"/>
      <c r="J103" s="2833"/>
      <c r="K103" s="2833"/>
      <c r="L103" s="2833"/>
      <c r="M103" s="2833"/>
      <c r="N103" s="2833"/>
      <c r="O103" s="2834"/>
      <c r="P103" s="2832"/>
      <c r="Q103" s="2833"/>
      <c r="R103" s="2833"/>
      <c r="S103" s="2833"/>
      <c r="T103" s="2833"/>
      <c r="U103" s="283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5" t="s">
        <v>2102</v>
      </c>
      <c r="C105" s="2836"/>
      <c r="D105" s="2836"/>
      <c r="E105" s="2836"/>
      <c r="F105" s="2836"/>
      <c r="G105" s="2836"/>
      <c r="H105" s="2836"/>
      <c r="I105" s="2836"/>
      <c r="J105" s="2836"/>
      <c r="K105" s="2836"/>
      <c r="L105" s="2836"/>
      <c r="M105" s="2836"/>
      <c r="N105" s="2836"/>
      <c r="O105" s="2836"/>
      <c r="P105" s="2836"/>
      <c r="Q105" s="2836"/>
      <c r="R105" s="2837"/>
      <c r="S105" s="2837"/>
      <c r="T105" s="2837"/>
      <c r="U105" s="2837"/>
      <c r="V105" s="2837"/>
      <c r="W105" s="2837"/>
      <c r="X105" s="2837"/>
      <c r="Y105" s="2837"/>
      <c r="Z105" s="2837"/>
      <c r="AA105" s="2837"/>
      <c r="AB105" s="2837"/>
      <c r="AC105" s="2837"/>
      <c r="AD105" s="2837"/>
      <c r="AE105" s="2837"/>
      <c r="AF105" s="2837"/>
      <c r="AG105" s="2838" t="s">
        <v>2036</v>
      </c>
      <c r="AH105" s="2838"/>
      <c r="AI105" s="2838"/>
      <c r="AJ105" s="283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0" t="s">
        <v>2103</v>
      </c>
      <c r="C106" s="2841"/>
      <c r="D106" s="2841"/>
      <c r="E106" s="2841"/>
      <c r="F106" s="2841"/>
      <c r="G106" s="2841"/>
      <c r="H106" s="2841"/>
      <c r="I106" s="2841"/>
      <c r="J106" s="2841"/>
      <c r="K106" s="2841"/>
      <c r="L106" s="2841"/>
      <c r="M106" s="2841"/>
      <c r="N106" s="2841"/>
      <c r="O106" s="2841"/>
      <c r="P106" s="2841"/>
      <c r="Q106" s="2842"/>
      <c r="R106" s="2843" t="s">
        <v>2104</v>
      </c>
      <c r="S106" s="2844"/>
      <c r="T106" s="2844"/>
      <c r="U106" s="2844"/>
      <c r="V106" s="2844"/>
      <c r="W106" s="2844"/>
      <c r="X106" s="2844"/>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5"/>
      <c r="AY106" s="1528"/>
      <c r="AZ106" s="1528"/>
      <c r="BA106" s="1528"/>
      <c r="BB106" s="1528"/>
      <c r="BC106" s="1528"/>
      <c r="BD106" s="1528"/>
      <c r="BE106" s="1534"/>
    </row>
    <row r="107" spans="1:57" ht="15.75" customHeight="1">
      <c r="A107" s="1817"/>
      <c r="B107" s="2866" t="s">
        <v>2105</v>
      </c>
      <c r="C107" s="2867"/>
      <c r="D107" s="2867"/>
      <c r="E107" s="2867"/>
      <c r="F107" s="2867"/>
      <c r="G107" s="2867"/>
      <c r="H107" s="2867"/>
      <c r="I107" s="2867"/>
      <c r="J107" s="2867"/>
      <c r="K107" s="2867"/>
      <c r="L107" s="2867"/>
      <c r="M107" s="2867"/>
      <c r="N107" s="2867"/>
      <c r="O107" s="2867"/>
      <c r="P107" s="2867"/>
      <c r="Q107" s="2867"/>
      <c r="R107" s="2867"/>
      <c r="S107" s="2867"/>
      <c r="T107" s="2867"/>
      <c r="U107" s="2867"/>
      <c r="V107" s="2867"/>
      <c r="W107" s="2867"/>
      <c r="X107" s="2867"/>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8"/>
      <c r="AY107" s="1528"/>
      <c r="AZ107" s="1528"/>
      <c r="BA107" s="1528"/>
      <c r="BB107" s="1528"/>
      <c r="BC107" s="1528"/>
      <c r="BD107" s="1528"/>
      <c r="BE107" s="1534"/>
    </row>
    <row r="108" spans="1:57" ht="15.75" customHeight="1">
      <c r="A108" s="1817"/>
      <c r="B108" s="2869"/>
      <c r="C108" s="2870"/>
      <c r="D108" s="2870"/>
      <c r="E108" s="2870"/>
      <c r="F108" s="2870"/>
      <c r="G108" s="2870"/>
      <c r="H108" s="2870"/>
      <c r="I108" s="2870"/>
      <c r="J108" s="2870"/>
      <c r="K108" s="2870"/>
      <c r="L108" s="2870"/>
      <c r="M108" s="2870"/>
      <c r="N108" s="2870"/>
      <c r="O108" s="2870"/>
      <c r="P108" s="2870"/>
      <c r="Q108" s="2870"/>
      <c r="R108" s="2870"/>
      <c r="S108" s="2870"/>
      <c r="T108" s="2870"/>
      <c r="U108" s="2870"/>
      <c r="V108" s="2870"/>
      <c r="W108" s="2870"/>
      <c r="X108" s="2870"/>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1"/>
      <c r="AY108" s="1528"/>
      <c r="AZ108" s="1528"/>
      <c r="BA108" s="1528"/>
      <c r="BB108" s="1528"/>
      <c r="BC108" s="1528"/>
      <c r="BD108" s="1528"/>
      <c r="BE108" s="1534"/>
    </row>
    <row r="109" spans="1:57" ht="15.75" customHeight="1">
      <c r="A109" s="1817"/>
      <c r="B109" s="2869"/>
      <c r="C109" s="2870"/>
      <c r="D109" s="2870"/>
      <c r="E109" s="2870"/>
      <c r="F109" s="2870"/>
      <c r="G109" s="2870"/>
      <c r="H109" s="2870"/>
      <c r="I109" s="2870"/>
      <c r="J109" s="2870"/>
      <c r="K109" s="2870"/>
      <c r="L109" s="2870"/>
      <c r="M109" s="2870"/>
      <c r="N109" s="2870"/>
      <c r="O109" s="2870"/>
      <c r="P109" s="2870"/>
      <c r="Q109" s="2870"/>
      <c r="R109" s="2870"/>
      <c r="S109" s="2870"/>
      <c r="T109" s="2870"/>
      <c r="U109" s="2870"/>
      <c r="V109" s="2870"/>
      <c r="W109" s="2870"/>
      <c r="X109" s="2870"/>
      <c r="Y109" s="2870"/>
      <c r="Z109" s="2870"/>
      <c r="AA109" s="2870"/>
      <c r="AB109" s="2870"/>
      <c r="AC109" s="2870"/>
      <c r="AD109" s="2870"/>
      <c r="AE109" s="2870"/>
      <c r="AF109" s="2870"/>
      <c r="AG109" s="2870"/>
      <c r="AH109" s="2870"/>
      <c r="AI109" s="2870"/>
      <c r="AJ109" s="2870"/>
      <c r="AK109" s="2870"/>
      <c r="AL109" s="2870"/>
      <c r="AM109" s="2870"/>
      <c r="AN109" s="2870"/>
      <c r="AO109" s="2870"/>
      <c r="AP109" s="2870"/>
      <c r="AQ109" s="2870"/>
      <c r="AR109" s="2870"/>
      <c r="AS109" s="2870"/>
      <c r="AT109" s="2870"/>
      <c r="AU109" s="2870"/>
      <c r="AV109" s="2870"/>
      <c r="AW109" s="2870"/>
      <c r="AX109" s="2871"/>
      <c r="AY109" s="1528"/>
      <c r="AZ109" s="1528"/>
      <c r="BA109" s="1528"/>
      <c r="BB109" s="1528"/>
      <c r="BC109" s="1528"/>
      <c r="BD109" s="1528"/>
      <c r="BE109" s="1534"/>
    </row>
    <row r="110" spans="1:57" ht="15.75" customHeight="1">
      <c r="A110" s="1817"/>
      <c r="B110" s="2869"/>
      <c r="C110" s="2870"/>
      <c r="D110" s="2870"/>
      <c r="E110" s="2870"/>
      <c r="F110" s="2870"/>
      <c r="G110" s="2870"/>
      <c r="H110" s="2870"/>
      <c r="I110" s="2870"/>
      <c r="J110" s="2870"/>
      <c r="K110" s="2870"/>
      <c r="L110" s="2870"/>
      <c r="M110" s="2870"/>
      <c r="N110" s="2870"/>
      <c r="O110" s="2870"/>
      <c r="P110" s="2870"/>
      <c r="Q110" s="2870"/>
      <c r="R110" s="2870"/>
      <c r="S110" s="2870"/>
      <c r="T110" s="2870"/>
      <c r="U110" s="2870"/>
      <c r="V110" s="2870"/>
      <c r="W110" s="2870"/>
      <c r="X110" s="2870"/>
      <c r="Y110" s="2870"/>
      <c r="Z110" s="2870"/>
      <c r="AA110" s="2870"/>
      <c r="AB110" s="2870"/>
      <c r="AC110" s="2870"/>
      <c r="AD110" s="2870"/>
      <c r="AE110" s="2870"/>
      <c r="AF110" s="2870"/>
      <c r="AG110" s="2870"/>
      <c r="AH110" s="2870"/>
      <c r="AI110" s="2870"/>
      <c r="AJ110" s="2870"/>
      <c r="AK110" s="2870"/>
      <c r="AL110" s="2870"/>
      <c r="AM110" s="2870"/>
      <c r="AN110" s="2870"/>
      <c r="AO110" s="2870"/>
      <c r="AP110" s="2870"/>
      <c r="AQ110" s="2870"/>
      <c r="AR110" s="2870"/>
      <c r="AS110" s="2870"/>
      <c r="AT110" s="2870"/>
      <c r="AU110" s="2870"/>
      <c r="AV110" s="2870"/>
      <c r="AW110" s="2870"/>
      <c r="AX110" s="2871"/>
      <c r="AY110" s="1528"/>
      <c r="AZ110" s="1528"/>
      <c r="BA110" s="1528"/>
      <c r="BB110" s="1528"/>
      <c r="BC110" s="1528"/>
      <c r="BD110" s="1528"/>
      <c r="BE110" s="1534"/>
    </row>
    <row r="111" spans="1:57" ht="15.75" customHeight="1">
      <c r="A111" s="1817"/>
      <c r="B111" s="2869"/>
      <c r="C111" s="2870"/>
      <c r="D111" s="2870"/>
      <c r="E111" s="2870"/>
      <c r="F111" s="2870"/>
      <c r="G111" s="2870"/>
      <c r="H111" s="2870"/>
      <c r="I111" s="2870"/>
      <c r="J111" s="2870"/>
      <c r="K111" s="2870"/>
      <c r="L111" s="2870"/>
      <c r="M111" s="2870"/>
      <c r="N111" s="2870"/>
      <c r="O111" s="2870"/>
      <c r="P111" s="2870"/>
      <c r="Q111" s="2870"/>
      <c r="R111" s="2870"/>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528"/>
      <c r="AZ111" s="1528"/>
      <c r="BA111" s="1528"/>
      <c r="BB111" s="1528"/>
      <c r="BC111" s="1528"/>
      <c r="BD111" s="1528"/>
      <c r="BE111" s="1534"/>
    </row>
    <row r="112" spans="1:57" ht="15.75" customHeight="1">
      <c r="A112" s="1817"/>
      <c r="B112" s="2869"/>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528"/>
      <c r="AZ112" s="1528"/>
      <c r="BA112" s="1528"/>
      <c r="BB112" s="1528"/>
      <c r="BC112" s="1528"/>
      <c r="BD112" s="1528"/>
      <c r="BE112" s="1534"/>
    </row>
    <row r="113" spans="1:57" ht="15.75" customHeight="1">
      <c r="A113" s="1817"/>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528"/>
      <c r="AZ113" s="1528"/>
      <c r="BA113" s="1528"/>
      <c r="BB113" s="1528"/>
      <c r="BC113" s="1528"/>
      <c r="BD113" s="1528"/>
      <c r="BE113" s="1534"/>
    </row>
    <row r="114" spans="1:57" ht="15.75" customHeight="1">
      <c r="A114" s="1817"/>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528"/>
      <c r="AZ114" s="1528"/>
      <c r="BA114" s="1528"/>
      <c r="BB114" s="1528"/>
      <c r="BC114" s="1528"/>
      <c r="BD114" s="1528"/>
      <c r="BE114" s="1534"/>
    </row>
    <row r="115" spans="1:57" ht="15.75" customHeight="1">
      <c r="A115" s="1817"/>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528"/>
      <c r="AZ115" s="1528"/>
      <c r="BA115" s="1528"/>
      <c r="BB115" s="1528"/>
      <c r="BC115" s="1528"/>
      <c r="BD115" s="1528"/>
      <c r="BE115" s="1534"/>
    </row>
    <row r="116" spans="1:57" ht="15.75" customHeight="1" thickBot="1">
      <c r="A116" s="1817"/>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2" t="s">
        <v>2107</v>
      </c>
      <c r="C120" s="2643"/>
      <c r="D120" s="2643"/>
      <c r="E120" s="2643"/>
      <c r="F120" s="2643"/>
      <c r="G120" s="2643"/>
      <c r="H120" s="2643"/>
      <c r="I120" s="2643"/>
      <c r="J120" s="2643"/>
      <c r="K120" s="2643"/>
      <c r="L120" s="2643"/>
      <c r="M120" s="2643"/>
      <c r="N120" s="2643"/>
      <c r="O120" s="2643"/>
      <c r="P120" s="2643"/>
      <c r="Q120" s="2643"/>
      <c r="R120" s="2643"/>
      <c r="S120" s="2643"/>
      <c r="T120" s="2643"/>
      <c r="U120" s="2846"/>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7"/>
      <c r="C121" s="2848"/>
      <c r="D121" s="2848"/>
      <c r="E121" s="2848"/>
      <c r="F121" s="2848"/>
      <c r="G121" s="2848"/>
      <c r="H121" s="2849"/>
      <c r="I121" s="2779" t="s">
        <v>2090</v>
      </c>
      <c r="J121" s="2780"/>
      <c r="K121" s="2780"/>
      <c r="L121" s="2780"/>
      <c r="M121" s="2780"/>
      <c r="N121" s="2780"/>
      <c r="O121" s="2850"/>
      <c r="P121" s="2779" t="s">
        <v>2101</v>
      </c>
      <c r="Q121" s="2780"/>
      <c r="R121" s="2780"/>
      <c r="S121" s="2780"/>
      <c r="T121" s="2780"/>
      <c r="U121" s="2850"/>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1" t="s">
        <v>2093</v>
      </c>
      <c r="C122" s="2852"/>
      <c r="D122" s="2852"/>
      <c r="E122" s="2852"/>
      <c r="F122" s="2852"/>
      <c r="G122" s="2852"/>
      <c r="H122" s="2852"/>
      <c r="I122" s="2832"/>
      <c r="J122" s="2833"/>
      <c r="K122" s="2833"/>
      <c r="L122" s="2833"/>
      <c r="M122" s="2833"/>
      <c r="N122" s="2833"/>
      <c r="O122" s="2834"/>
      <c r="P122" s="2832"/>
      <c r="Q122" s="2833"/>
      <c r="R122" s="2833"/>
      <c r="S122" s="2833"/>
      <c r="T122" s="2833"/>
      <c r="U122" s="283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2" t="s">
        <v>2094</v>
      </c>
      <c r="C123" s="2783"/>
      <c r="D123" s="2783"/>
      <c r="E123" s="2783"/>
      <c r="F123" s="2783"/>
      <c r="G123" s="2783"/>
      <c r="H123" s="2783"/>
      <c r="I123" s="2832"/>
      <c r="J123" s="2833"/>
      <c r="K123" s="2833"/>
      <c r="L123" s="2833"/>
      <c r="M123" s="2833"/>
      <c r="N123" s="2833"/>
      <c r="O123" s="2834"/>
      <c r="P123" s="2832"/>
      <c r="Q123" s="2833"/>
      <c r="R123" s="2833"/>
      <c r="S123" s="2833"/>
      <c r="T123" s="2833"/>
      <c r="U123" s="283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3" t="s">
        <v>2108</v>
      </c>
      <c r="D125" s="2854"/>
      <c r="E125" s="2854"/>
      <c r="F125" s="2854"/>
      <c r="G125" s="2854"/>
      <c r="H125" s="2854"/>
      <c r="I125" s="2854"/>
      <c r="J125" s="2854"/>
      <c r="K125" s="2854"/>
      <c r="L125" s="2854"/>
      <c r="M125" s="2854"/>
      <c r="N125" s="2854"/>
      <c r="O125" s="2854"/>
      <c r="P125" s="2854"/>
      <c r="Q125" s="2854"/>
      <c r="R125" s="2854"/>
      <c r="S125" s="2854"/>
      <c r="T125" s="2854"/>
      <c r="U125" s="2854"/>
      <c r="V125" s="2854"/>
      <c r="W125" s="2854"/>
      <c r="X125" s="2854"/>
      <c r="Y125" s="2854"/>
      <c r="Z125" s="2854"/>
      <c r="AA125" s="2854"/>
      <c r="AB125" s="2854"/>
      <c r="AC125" s="2854"/>
      <c r="AD125" s="2854"/>
      <c r="AE125" s="2854"/>
      <c r="AF125" s="2854"/>
      <c r="AG125" s="285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6" t="s">
        <v>2109</v>
      </c>
      <c r="D126" s="2857"/>
      <c r="E126" s="2857"/>
      <c r="F126" s="2857"/>
      <c r="G126" s="2857"/>
      <c r="H126" s="2857"/>
      <c r="I126" s="2857"/>
      <c r="J126" s="2857"/>
      <c r="K126" s="2857"/>
      <c r="L126" s="2857"/>
      <c r="M126" s="2857"/>
      <c r="N126" s="2857"/>
      <c r="O126" s="2857"/>
      <c r="P126" s="2858"/>
      <c r="Q126" s="2859" t="s">
        <v>2110</v>
      </c>
      <c r="R126" s="2857"/>
      <c r="S126" s="2858"/>
      <c r="T126" s="2860" t="s">
        <v>2111</v>
      </c>
      <c r="U126" s="2861"/>
      <c r="V126" s="2861"/>
      <c r="W126" s="2861"/>
      <c r="X126" s="2861"/>
      <c r="Y126" s="2861"/>
      <c r="Z126" s="2861"/>
      <c r="AA126" s="2862"/>
      <c r="AB126" s="2863" t="s">
        <v>2112</v>
      </c>
      <c r="AC126" s="2864"/>
      <c r="AD126" s="2864"/>
      <c r="AE126" s="2864"/>
      <c r="AF126" s="2864"/>
      <c r="AG126" s="286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5" t="s">
        <v>2113</v>
      </c>
      <c r="D127" s="2876"/>
      <c r="E127" s="2876"/>
      <c r="F127" s="2876"/>
      <c r="G127" s="2876"/>
      <c r="H127" s="2876"/>
      <c r="I127" s="2876"/>
      <c r="J127" s="2876"/>
      <c r="K127" s="2876"/>
      <c r="L127" s="2876"/>
      <c r="M127" s="2876"/>
      <c r="N127" s="2876"/>
      <c r="O127" s="2876"/>
      <c r="P127" s="2877"/>
      <c r="Q127" s="2878">
        <v>55</v>
      </c>
      <c r="R127" s="2879"/>
      <c r="S127" s="2880"/>
      <c r="T127" s="2886"/>
      <c r="U127" s="2887"/>
      <c r="V127" s="2887"/>
      <c r="W127" s="2887"/>
      <c r="X127" s="2887"/>
      <c r="Y127" s="2887"/>
      <c r="Z127" s="2887"/>
      <c r="AA127" s="288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5" t="s">
        <v>429</v>
      </c>
      <c r="D128" s="2876"/>
      <c r="E128" s="2876"/>
      <c r="F128" s="2876"/>
      <c r="G128" s="2876"/>
      <c r="H128" s="2876"/>
      <c r="I128" s="2876"/>
      <c r="J128" s="2876"/>
      <c r="K128" s="2876"/>
      <c r="L128" s="2876"/>
      <c r="M128" s="2876"/>
      <c r="N128" s="2876"/>
      <c r="O128" s="2876"/>
      <c r="P128" s="2877"/>
      <c r="Q128" s="2878">
        <v>55</v>
      </c>
      <c r="R128" s="2879"/>
      <c r="S128" s="2880"/>
      <c r="T128" s="2888" t="str">
        <f>_xlfn.CONCAT(Application!AC515,"/", Application!AH515)</f>
        <v>N/A/</v>
      </c>
      <c r="U128" s="2889"/>
      <c r="V128" s="2889"/>
      <c r="W128" s="2889"/>
      <c r="X128" s="2889"/>
      <c r="Y128" s="2889"/>
      <c r="Z128" s="2889"/>
      <c r="AA128" s="288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5" t="s">
        <v>2114</v>
      </c>
      <c r="D129" s="2876"/>
      <c r="E129" s="2876"/>
      <c r="F129" s="2876"/>
      <c r="G129" s="2876"/>
      <c r="H129" s="2876"/>
      <c r="I129" s="2876"/>
      <c r="J129" s="2876"/>
      <c r="K129" s="2876"/>
      <c r="L129" s="2876"/>
      <c r="M129" s="2876"/>
      <c r="N129" s="2876"/>
      <c r="O129" s="2876"/>
      <c r="P129" s="2877"/>
      <c r="Q129" s="2878">
        <v>55</v>
      </c>
      <c r="R129" s="2879"/>
      <c r="S129" s="2880"/>
      <c r="T129" s="2881"/>
      <c r="U129" s="2882"/>
      <c r="V129" s="2882"/>
      <c r="W129" s="2882"/>
      <c r="X129" s="2882"/>
      <c r="Y129" s="2882"/>
      <c r="Z129" s="2882"/>
      <c r="AA129" s="2882"/>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5" t="s">
        <v>2115</v>
      </c>
      <c r="D130" s="2876"/>
      <c r="E130" s="2876"/>
      <c r="F130" s="2876"/>
      <c r="G130" s="2876"/>
      <c r="H130" s="2876"/>
      <c r="I130" s="2876"/>
      <c r="J130" s="2876"/>
      <c r="K130" s="2876"/>
      <c r="L130" s="2876"/>
      <c r="M130" s="2876"/>
      <c r="N130" s="2876"/>
      <c r="O130" s="2876"/>
      <c r="P130" s="2877"/>
      <c r="Q130" s="2883"/>
      <c r="R130" s="2884"/>
      <c r="S130" s="2885"/>
      <c r="T130" s="2886"/>
      <c r="U130" s="2887"/>
      <c r="V130" s="2887"/>
      <c r="W130" s="2887"/>
      <c r="X130" s="2887"/>
      <c r="Y130" s="2887"/>
      <c r="Z130" s="2887"/>
      <c r="AA130" s="288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5" t="s">
        <v>2068</v>
      </c>
      <c r="D131" s="2876"/>
      <c r="E131" s="2876"/>
      <c r="F131" s="2876"/>
      <c r="G131" s="2876"/>
      <c r="H131" s="2876"/>
      <c r="I131" s="2876"/>
      <c r="J131" s="2876"/>
      <c r="K131" s="2876"/>
      <c r="L131" s="2876"/>
      <c r="M131" s="2876"/>
      <c r="N131" s="2876"/>
      <c r="O131" s="2876"/>
      <c r="P131" s="2877"/>
      <c r="Q131" s="2890">
        <f>Application!AG400</f>
        <v>0</v>
      </c>
      <c r="R131" s="2891"/>
      <c r="S131" s="2892"/>
      <c r="T131" s="2886"/>
      <c r="U131" s="2887"/>
      <c r="V131" s="2887"/>
      <c r="W131" s="2887"/>
      <c r="X131" s="2887"/>
      <c r="Y131" s="2887"/>
      <c r="Z131" s="2887"/>
      <c r="AA131" s="2893"/>
      <c r="AB131" s="2894">
        <f>Application!AE401</f>
        <v>0</v>
      </c>
      <c r="AC131" s="2895"/>
      <c r="AD131" s="2895"/>
      <c r="AE131" s="2895"/>
      <c r="AF131" s="2895"/>
      <c r="AG131" s="289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1" t="s">
        <v>174</v>
      </c>
      <c r="D132" s="2612"/>
      <c r="E132" s="2612"/>
      <c r="F132" s="2897" t="s">
        <v>2116</v>
      </c>
      <c r="G132" s="2897"/>
      <c r="H132" s="2897"/>
      <c r="I132" s="2897"/>
      <c r="J132" s="2897"/>
      <c r="K132" s="2897"/>
      <c r="L132" s="2897"/>
      <c r="M132" s="2897"/>
      <c r="N132" s="2897"/>
      <c r="O132" s="2897"/>
      <c r="P132" s="2897"/>
      <c r="Q132" s="2898">
        <v>55</v>
      </c>
      <c r="R132" s="2898"/>
      <c r="S132" s="2898"/>
      <c r="T132" s="2899"/>
      <c r="U132" s="2899"/>
      <c r="V132" s="2899"/>
      <c r="W132" s="2899"/>
      <c r="X132" s="2899"/>
      <c r="Y132" s="2899"/>
      <c r="Z132" s="2899"/>
      <c r="AA132" s="2899"/>
      <c r="AB132" s="2900"/>
      <c r="AC132" s="2901"/>
      <c r="AD132" s="2901"/>
      <c r="AE132" s="2901"/>
      <c r="AF132" s="2901"/>
      <c r="AG132" s="2902"/>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1" t="s">
        <v>174</v>
      </c>
      <c r="D133" s="2612"/>
      <c r="E133" s="2612"/>
      <c r="F133" s="2897" t="s">
        <v>2116</v>
      </c>
      <c r="G133" s="2897"/>
      <c r="H133" s="2897"/>
      <c r="I133" s="2897"/>
      <c r="J133" s="2897"/>
      <c r="K133" s="2897"/>
      <c r="L133" s="2897"/>
      <c r="M133" s="2897"/>
      <c r="N133" s="2897"/>
      <c r="O133" s="2897"/>
      <c r="P133" s="2897"/>
      <c r="Q133" s="2898">
        <v>55</v>
      </c>
      <c r="R133" s="2898"/>
      <c r="S133" s="2898"/>
      <c r="T133" s="2899"/>
      <c r="U133" s="2899"/>
      <c r="V133" s="2899"/>
      <c r="W133" s="2899"/>
      <c r="X133" s="2899"/>
      <c r="Y133" s="2899"/>
      <c r="Z133" s="2899"/>
      <c r="AA133" s="2899"/>
      <c r="AB133" s="2900"/>
      <c r="AC133" s="2901"/>
      <c r="AD133" s="2901"/>
      <c r="AE133" s="2901"/>
      <c r="AF133" s="2901"/>
      <c r="AG133" s="290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1" t="s">
        <v>174</v>
      </c>
      <c r="D134" s="2612"/>
      <c r="E134" s="2612"/>
      <c r="F134" s="2903" t="s">
        <v>2116</v>
      </c>
      <c r="G134" s="2903"/>
      <c r="H134" s="2903"/>
      <c r="I134" s="2903"/>
      <c r="J134" s="2903"/>
      <c r="K134" s="2903"/>
      <c r="L134" s="2903"/>
      <c r="M134" s="2903"/>
      <c r="N134" s="2903"/>
      <c r="O134" s="2903"/>
      <c r="P134" s="2903"/>
      <c r="Q134" s="2785">
        <v>55</v>
      </c>
      <c r="R134" s="2785"/>
      <c r="S134" s="2785"/>
      <c r="T134" s="2784"/>
      <c r="U134" s="2784"/>
      <c r="V134" s="2784"/>
      <c r="W134" s="2784"/>
      <c r="X134" s="2784"/>
      <c r="Y134" s="2784"/>
      <c r="Z134" s="2784"/>
      <c r="AA134" s="2784"/>
      <c r="AB134" s="2904"/>
      <c r="AC134" s="2905"/>
      <c r="AD134" s="2905"/>
      <c r="AE134" s="2905"/>
      <c r="AF134" s="2905"/>
      <c r="AG134" s="290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3" t="s">
        <v>2117</v>
      </c>
      <c r="D136" s="2614"/>
      <c r="E136" s="2614"/>
      <c r="F136" s="2614"/>
      <c r="G136" s="2614"/>
      <c r="H136" s="2614"/>
      <c r="I136" s="2614"/>
      <c r="J136" s="2614"/>
      <c r="K136" s="2614"/>
      <c r="L136" s="2614"/>
      <c r="M136" s="2614"/>
      <c r="N136" s="2615"/>
      <c r="O136" s="1528"/>
      <c r="P136" s="2908" t="s">
        <v>2118</v>
      </c>
      <c r="Q136" s="2909"/>
      <c r="R136" s="2909"/>
      <c r="S136" s="2909"/>
      <c r="T136" s="2909"/>
      <c r="U136" s="2909"/>
      <c r="V136" s="2909"/>
      <c r="W136" s="2909"/>
      <c r="X136" s="2909"/>
      <c r="Y136" s="2909"/>
      <c r="Z136" s="2909"/>
      <c r="AA136" s="2909"/>
      <c r="AB136" s="2909"/>
      <c r="AC136" s="2909"/>
      <c r="AD136" s="2909"/>
      <c r="AE136" s="2909"/>
      <c r="AF136" s="2909"/>
      <c r="AG136" s="2909"/>
      <c r="AH136" s="2909"/>
      <c r="AI136" s="2909"/>
      <c r="AJ136" s="2909"/>
      <c r="AK136" s="2909"/>
      <c r="AL136" s="2909"/>
      <c r="AM136" s="2909"/>
      <c r="AN136" s="2909"/>
      <c r="AO136" s="2910"/>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8" t="s">
        <v>2119</v>
      </c>
      <c r="D137" s="2819"/>
      <c r="E137" s="2819"/>
      <c r="F137" s="2819"/>
      <c r="G137" s="2819"/>
      <c r="H137" s="2820"/>
      <c r="I137" s="2818" t="s">
        <v>2120</v>
      </c>
      <c r="J137" s="2819"/>
      <c r="K137" s="2819"/>
      <c r="L137" s="2819"/>
      <c r="M137" s="2819"/>
      <c r="N137" s="2820"/>
      <c r="O137" s="1528"/>
      <c r="P137" s="2911"/>
      <c r="Q137" s="2912"/>
      <c r="R137" s="2912"/>
      <c r="S137" s="2912"/>
      <c r="T137" s="2912"/>
      <c r="U137" s="2912"/>
      <c r="V137" s="2912"/>
      <c r="W137" s="2912"/>
      <c r="X137" s="2912"/>
      <c r="Y137" s="2912"/>
      <c r="Z137" s="2912"/>
      <c r="AA137" s="2912"/>
      <c r="AB137" s="2912"/>
      <c r="AC137" s="2912"/>
      <c r="AD137" s="2912"/>
      <c r="AE137" s="2912"/>
      <c r="AF137" s="2912"/>
      <c r="AG137" s="2912"/>
      <c r="AH137" s="2912"/>
      <c r="AI137" s="2912"/>
      <c r="AJ137" s="2912"/>
      <c r="AK137" s="2912"/>
      <c r="AL137" s="2912"/>
      <c r="AM137" s="2912"/>
      <c r="AN137" s="2912"/>
      <c r="AO137" s="2913"/>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2"/>
      <c r="D138" s="2722"/>
      <c r="E138" s="2722"/>
      <c r="F138" s="2722"/>
      <c r="G138" s="2722"/>
      <c r="H138" s="2722"/>
      <c r="I138" s="2907"/>
      <c r="J138" s="2907"/>
      <c r="K138" s="2907"/>
      <c r="L138" s="2907"/>
      <c r="M138" s="2907"/>
      <c r="N138" s="2907"/>
      <c r="O138" s="1528"/>
      <c r="P138" s="2911"/>
      <c r="Q138" s="2912"/>
      <c r="R138" s="2912"/>
      <c r="S138" s="2912"/>
      <c r="T138" s="2912"/>
      <c r="U138" s="2912"/>
      <c r="V138" s="2912"/>
      <c r="W138" s="2912"/>
      <c r="X138" s="2912"/>
      <c r="Y138" s="2912"/>
      <c r="Z138" s="2912"/>
      <c r="AA138" s="2912"/>
      <c r="AB138" s="2912"/>
      <c r="AC138" s="2912"/>
      <c r="AD138" s="2912"/>
      <c r="AE138" s="2912"/>
      <c r="AF138" s="2912"/>
      <c r="AG138" s="2912"/>
      <c r="AH138" s="2912"/>
      <c r="AI138" s="2912"/>
      <c r="AJ138" s="2912"/>
      <c r="AK138" s="2912"/>
      <c r="AL138" s="2912"/>
      <c r="AM138" s="2912"/>
      <c r="AN138" s="2912"/>
      <c r="AO138" s="2913"/>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2"/>
      <c r="D139" s="2722"/>
      <c r="E139" s="2722"/>
      <c r="F139" s="2722"/>
      <c r="G139" s="2722"/>
      <c r="H139" s="2722"/>
      <c r="I139" s="2907"/>
      <c r="J139" s="2907"/>
      <c r="K139" s="2907"/>
      <c r="L139" s="2907"/>
      <c r="M139" s="2907"/>
      <c r="N139" s="2907"/>
      <c r="O139" s="1528"/>
      <c r="P139" s="2911"/>
      <c r="Q139" s="2912"/>
      <c r="R139" s="2912"/>
      <c r="S139" s="2912"/>
      <c r="T139" s="2912"/>
      <c r="U139" s="2912"/>
      <c r="V139" s="2912"/>
      <c r="W139" s="2912"/>
      <c r="X139" s="2912"/>
      <c r="Y139" s="2912"/>
      <c r="Z139" s="2912"/>
      <c r="AA139" s="2912"/>
      <c r="AB139" s="2912"/>
      <c r="AC139" s="2912"/>
      <c r="AD139" s="2912"/>
      <c r="AE139" s="2912"/>
      <c r="AF139" s="2912"/>
      <c r="AG139" s="2912"/>
      <c r="AH139" s="2912"/>
      <c r="AI139" s="2912"/>
      <c r="AJ139" s="2912"/>
      <c r="AK139" s="2912"/>
      <c r="AL139" s="2912"/>
      <c r="AM139" s="2912"/>
      <c r="AN139" s="2912"/>
      <c r="AO139" s="2913"/>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2"/>
      <c r="D140" s="2722"/>
      <c r="E140" s="2722"/>
      <c r="F140" s="2722"/>
      <c r="G140" s="2722"/>
      <c r="H140" s="2722"/>
      <c r="I140" s="2907"/>
      <c r="J140" s="2907"/>
      <c r="K140" s="2907"/>
      <c r="L140" s="2907"/>
      <c r="M140" s="2907"/>
      <c r="N140" s="2907"/>
      <c r="O140" s="1528"/>
      <c r="P140" s="2911"/>
      <c r="Q140" s="2912"/>
      <c r="R140" s="2912"/>
      <c r="S140" s="2912"/>
      <c r="T140" s="2912"/>
      <c r="U140" s="2912"/>
      <c r="V140" s="2912"/>
      <c r="W140" s="2912"/>
      <c r="X140" s="2912"/>
      <c r="Y140" s="2912"/>
      <c r="Z140" s="2912"/>
      <c r="AA140" s="2912"/>
      <c r="AB140" s="2912"/>
      <c r="AC140" s="2912"/>
      <c r="AD140" s="2912"/>
      <c r="AE140" s="2912"/>
      <c r="AF140" s="2912"/>
      <c r="AG140" s="2912"/>
      <c r="AH140" s="2912"/>
      <c r="AI140" s="2912"/>
      <c r="AJ140" s="2912"/>
      <c r="AK140" s="2912"/>
      <c r="AL140" s="2912"/>
      <c r="AM140" s="2912"/>
      <c r="AN140" s="2912"/>
      <c r="AO140" s="2913"/>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2"/>
      <c r="D141" s="2722"/>
      <c r="E141" s="2722"/>
      <c r="F141" s="2722"/>
      <c r="G141" s="2722"/>
      <c r="H141" s="2722"/>
      <c r="I141" s="2907"/>
      <c r="J141" s="2907"/>
      <c r="K141" s="2907"/>
      <c r="L141" s="2907"/>
      <c r="M141" s="2907"/>
      <c r="N141" s="2907"/>
      <c r="O141" s="1528"/>
      <c r="P141" s="2911"/>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2"/>
      <c r="D142" s="2722"/>
      <c r="E142" s="2722"/>
      <c r="F142" s="2722"/>
      <c r="G142" s="2722"/>
      <c r="H142" s="2722"/>
      <c r="I142" s="2907"/>
      <c r="J142" s="2907"/>
      <c r="K142" s="2907"/>
      <c r="L142" s="2907"/>
      <c r="M142" s="2907"/>
      <c r="N142" s="2907"/>
      <c r="O142" s="1528"/>
      <c r="P142" s="2911"/>
      <c r="Q142" s="2912"/>
      <c r="R142" s="2912"/>
      <c r="S142" s="2912"/>
      <c r="T142" s="2912"/>
      <c r="U142" s="2912"/>
      <c r="V142" s="2912"/>
      <c r="W142" s="2912"/>
      <c r="X142" s="2912"/>
      <c r="Y142" s="2912"/>
      <c r="Z142" s="2912"/>
      <c r="AA142" s="2912"/>
      <c r="AB142" s="2912"/>
      <c r="AC142" s="2912"/>
      <c r="AD142" s="2912"/>
      <c r="AE142" s="2912"/>
      <c r="AF142" s="2912"/>
      <c r="AG142" s="2912"/>
      <c r="AH142" s="2912"/>
      <c r="AI142" s="2912"/>
      <c r="AJ142" s="2912"/>
      <c r="AK142" s="2912"/>
      <c r="AL142" s="2912"/>
      <c r="AM142" s="2912"/>
      <c r="AN142" s="2912"/>
      <c r="AO142" s="2913"/>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2"/>
      <c r="D143" s="2722"/>
      <c r="E143" s="2722"/>
      <c r="F143" s="2722"/>
      <c r="G143" s="2722"/>
      <c r="H143" s="2722"/>
      <c r="I143" s="2907"/>
      <c r="J143" s="2907"/>
      <c r="K143" s="2907"/>
      <c r="L143" s="2907"/>
      <c r="M143" s="2907"/>
      <c r="N143" s="2907"/>
      <c r="O143" s="1528"/>
      <c r="P143" s="2911"/>
      <c r="Q143" s="2912"/>
      <c r="R143" s="2912"/>
      <c r="S143" s="2912"/>
      <c r="T143" s="2912"/>
      <c r="U143" s="2912"/>
      <c r="V143" s="2912"/>
      <c r="W143" s="2912"/>
      <c r="X143" s="2912"/>
      <c r="Y143" s="2912"/>
      <c r="Z143" s="2912"/>
      <c r="AA143" s="2912"/>
      <c r="AB143" s="2912"/>
      <c r="AC143" s="2912"/>
      <c r="AD143" s="2912"/>
      <c r="AE143" s="2912"/>
      <c r="AF143" s="2912"/>
      <c r="AG143" s="2912"/>
      <c r="AH143" s="2912"/>
      <c r="AI143" s="2912"/>
      <c r="AJ143" s="2912"/>
      <c r="AK143" s="2912"/>
      <c r="AL143" s="2912"/>
      <c r="AM143" s="2912"/>
      <c r="AN143" s="2912"/>
      <c r="AO143" s="2913"/>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2"/>
      <c r="D144" s="2722"/>
      <c r="E144" s="2722"/>
      <c r="F144" s="2722"/>
      <c r="G144" s="2722"/>
      <c r="H144" s="2722"/>
      <c r="I144" s="2907"/>
      <c r="J144" s="2907"/>
      <c r="K144" s="2907"/>
      <c r="L144" s="2907"/>
      <c r="M144" s="2907"/>
      <c r="N144" s="2907"/>
      <c r="O144" s="1528"/>
      <c r="P144" s="2914"/>
      <c r="Q144" s="2915"/>
      <c r="R144" s="2915"/>
      <c r="S144" s="2915"/>
      <c r="T144" s="2915"/>
      <c r="U144" s="2915"/>
      <c r="V144" s="2915"/>
      <c r="W144" s="2915"/>
      <c r="X144" s="2915"/>
      <c r="Y144" s="2915"/>
      <c r="Z144" s="2915"/>
      <c r="AA144" s="2915"/>
      <c r="AB144" s="2915"/>
      <c r="AC144" s="2915"/>
      <c r="AD144" s="2915"/>
      <c r="AE144" s="2915"/>
      <c r="AF144" s="2915"/>
      <c r="AG144" s="2915"/>
      <c r="AH144" s="2915"/>
      <c r="AI144" s="2915"/>
      <c r="AJ144" s="2915"/>
      <c r="AK144" s="2915"/>
      <c r="AL144" s="2915"/>
      <c r="AM144" s="2915"/>
      <c r="AN144" s="2915"/>
      <c r="AO144" s="2916"/>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7"/>
      <c r="D149" s="2928"/>
      <c r="E149" s="2928"/>
      <c r="F149" s="2928"/>
      <c r="G149" s="2928"/>
      <c r="H149" s="2928"/>
      <c r="I149" s="2928"/>
      <c r="J149" s="2928"/>
      <c r="K149" s="2928"/>
      <c r="L149" s="2928"/>
      <c r="M149" s="2929"/>
      <c r="N149" s="2930" t="s">
        <v>2123</v>
      </c>
      <c r="O149" s="2930"/>
      <c r="P149" s="2930"/>
      <c r="Q149" s="2930"/>
      <c r="R149" s="2930"/>
      <c r="S149" s="2930"/>
      <c r="T149" s="2931"/>
      <c r="U149" s="2932" t="s">
        <v>2109</v>
      </c>
      <c r="V149" s="2762"/>
      <c r="W149" s="2762"/>
      <c r="X149" s="2762"/>
      <c r="Y149" s="2762"/>
      <c r="Z149" s="2762"/>
      <c r="AA149" s="2762"/>
      <c r="AB149" s="2762"/>
      <c r="AC149" s="2762"/>
      <c r="AD149" s="2762"/>
      <c r="AE149" s="2763"/>
      <c r="AF149" s="1528"/>
      <c r="AG149" s="1528"/>
      <c r="AH149" s="2606" t="s">
        <v>2124</v>
      </c>
      <c r="AI149" s="2607"/>
      <c r="AJ149" s="2607"/>
      <c r="AK149" s="2607"/>
      <c r="AL149" s="2607"/>
      <c r="AM149" s="2607"/>
      <c r="AN149" s="2607"/>
      <c r="AO149" s="2607"/>
      <c r="AP149" s="2607"/>
      <c r="AQ149" s="2607"/>
      <c r="AR149" s="2607"/>
      <c r="AS149" s="2917"/>
      <c r="AT149" s="2918"/>
      <c r="AU149" s="2918"/>
      <c r="AV149" s="2918"/>
      <c r="AW149" s="2918"/>
      <c r="AX149" s="1528"/>
      <c r="AY149" s="1528"/>
      <c r="AZ149" s="1528"/>
      <c r="BA149" s="1528"/>
      <c r="BB149" s="1528"/>
      <c r="BC149" s="1528"/>
      <c r="BD149" s="1528"/>
      <c r="BE149" s="1534"/>
    </row>
    <row r="150" spans="1:57" ht="15.75" customHeight="1">
      <c r="A150" s="1817"/>
      <c r="B150" s="1528"/>
      <c r="C150" s="2856" t="s">
        <v>2125</v>
      </c>
      <c r="D150" s="2857"/>
      <c r="E150" s="2857"/>
      <c r="F150" s="2857"/>
      <c r="G150" s="2857"/>
      <c r="H150" s="2857"/>
      <c r="I150" s="2857"/>
      <c r="J150" s="2857"/>
      <c r="K150" s="2857"/>
      <c r="L150" s="2857"/>
      <c r="M150" s="2919"/>
      <c r="N150" s="2920">
        <f>'Sources and Uses Budget'!B104</f>
        <v>4845261</v>
      </c>
      <c r="O150" s="2920"/>
      <c r="P150" s="2920"/>
      <c r="Q150" s="2920"/>
      <c r="R150" s="2920"/>
      <c r="S150" s="2920"/>
      <c r="T150" s="2921"/>
      <c r="U150" s="2922"/>
      <c r="V150" s="2923"/>
      <c r="W150" s="2923"/>
      <c r="X150" s="2923"/>
      <c r="Y150" s="2923"/>
      <c r="Z150" s="2923"/>
      <c r="AA150" s="2923"/>
      <c r="AB150" s="2923"/>
      <c r="AC150" s="2923"/>
      <c r="AD150" s="2923"/>
      <c r="AE150" s="2924"/>
      <c r="AF150" s="1528"/>
      <c r="AG150" s="1528"/>
      <c r="AH150" s="2925" t="s">
        <v>2126</v>
      </c>
      <c r="AI150" s="2926"/>
      <c r="AJ150" s="2926"/>
      <c r="AK150" s="2926"/>
      <c r="AL150" s="2926"/>
      <c r="AM150" s="2926"/>
      <c r="AN150" s="2926"/>
      <c r="AO150" s="2926"/>
      <c r="AP150" s="2926"/>
      <c r="AQ150" s="2926"/>
      <c r="AR150" s="2926"/>
      <c r="AS150" s="2917"/>
      <c r="AT150" s="2918"/>
      <c r="AU150" s="2918"/>
      <c r="AV150" s="2918"/>
      <c r="AW150" s="2918"/>
      <c r="AX150" s="1528"/>
      <c r="AY150" s="1528"/>
      <c r="AZ150" s="1528"/>
      <c r="BA150" s="1528"/>
      <c r="BB150" s="1528"/>
      <c r="BC150" s="1528"/>
      <c r="BD150" s="1528"/>
      <c r="BE150" s="1534"/>
    </row>
    <row r="151" spans="1:57" ht="15.75" customHeight="1">
      <c r="A151" s="1817"/>
      <c r="B151" s="1528"/>
      <c r="C151" s="2856" t="s">
        <v>2127</v>
      </c>
      <c r="D151" s="2857"/>
      <c r="E151" s="2857"/>
      <c r="F151" s="2857"/>
      <c r="G151" s="2857"/>
      <c r="H151" s="2857"/>
      <c r="I151" s="2857"/>
      <c r="J151" s="2857"/>
      <c r="K151" s="2857"/>
      <c r="L151" s="2857"/>
      <c r="M151" s="2919"/>
      <c r="N151" s="2920">
        <f>N150/J29</f>
        <v>54441.134831460673</v>
      </c>
      <c r="O151" s="2920"/>
      <c r="P151" s="2920"/>
      <c r="Q151" s="2920"/>
      <c r="R151" s="2920"/>
      <c r="S151" s="2920"/>
      <c r="T151" s="2921"/>
      <c r="U151" s="1552"/>
      <c r="V151" s="1552"/>
      <c r="W151" s="1552"/>
      <c r="X151" s="1552"/>
      <c r="Y151" s="1552"/>
      <c r="Z151" s="1552"/>
      <c r="AA151" s="1552"/>
      <c r="AB151" s="1552"/>
      <c r="AC151" s="1552"/>
      <c r="AD151" s="1552"/>
      <c r="AE151" s="1553"/>
      <c r="AF151" s="1528"/>
      <c r="AG151" s="1528"/>
      <c r="AH151" s="2875" t="s">
        <v>2128</v>
      </c>
      <c r="AI151" s="2876"/>
      <c r="AJ151" s="2876"/>
      <c r="AK151" s="2876"/>
      <c r="AL151" s="2876"/>
      <c r="AM151" s="2876"/>
      <c r="AN151" s="2876"/>
      <c r="AO151" s="2876"/>
      <c r="AP151" s="2876"/>
      <c r="AQ151" s="2876"/>
      <c r="AR151" s="2877"/>
      <c r="AS151" s="2917"/>
      <c r="AT151" s="2918"/>
      <c r="AU151" s="2918"/>
      <c r="AV151" s="2918"/>
      <c r="AW151" s="2918"/>
      <c r="AX151" s="1528"/>
      <c r="AY151" s="1528"/>
      <c r="AZ151" s="1528"/>
      <c r="BA151" s="1528"/>
      <c r="BB151" s="1528"/>
      <c r="BC151" s="1528"/>
      <c r="BD151" s="1528"/>
      <c r="BE151" s="1534"/>
    </row>
    <row r="152" spans="1:57" ht="15.75" customHeight="1">
      <c r="A152" s="1817"/>
      <c r="B152" s="1528"/>
      <c r="C152" s="2943" t="s">
        <v>2129</v>
      </c>
      <c r="D152" s="2780"/>
      <c r="E152" s="2780"/>
      <c r="F152" s="2780"/>
      <c r="G152" s="2780"/>
      <c r="H152" s="2780"/>
      <c r="I152" s="2780"/>
      <c r="J152" s="2780"/>
      <c r="K152" s="2780"/>
      <c r="L152" s="2780"/>
      <c r="M152" s="2781"/>
      <c r="N152" s="2944"/>
      <c r="O152" s="2944"/>
      <c r="P152" s="2944"/>
      <c r="Q152" s="2944"/>
      <c r="R152" s="2944"/>
      <c r="S152" s="2944"/>
      <c r="T152" s="2945"/>
      <c r="U152" s="2950"/>
      <c r="V152" s="2951"/>
      <c r="W152" s="2951"/>
      <c r="X152" s="2951"/>
      <c r="Y152" s="2951"/>
      <c r="Z152" s="2951"/>
      <c r="AA152" s="2951"/>
      <c r="AB152" s="2951"/>
      <c r="AC152" s="2951"/>
      <c r="AD152" s="2951"/>
      <c r="AE152" s="2952"/>
      <c r="AF152" s="1528"/>
      <c r="AG152" s="1528"/>
      <c r="AH152" s="2922"/>
      <c r="AI152" s="2923"/>
      <c r="AJ152" s="2923"/>
      <c r="AK152" s="2923"/>
      <c r="AL152" s="2923"/>
      <c r="AM152" s="2923"/>
      <c r="AN152" s="2923"/>
      <c r="AO152" s="2923"/>
      <c r="AP152" s="2923"/>
      <c r="AQ152" s="2923"/>
      <c r="AR152" s="2946"/>
      <c r="AS152" s="2947"/>
      <c r="AT152" s="2948"/>
      <c r="AU152" s="2948"/>
      <c r="AV152" s="2948"/>
      <c r="AW152" s="2949"/>
      <c r="AX152" s="1528"/>
      <c r="AY152" s="1528"/>
      <c r="AZ152" s="1528"/>
      <c r="BA152" s="1528"/>
      <c r="BB152" s="1528"/>
      <c r="BC152" s="1528"/>
      <c r="BD152" s="1528"/>
      <c r="BE152" s="1534"/>
    </row>
    <row r="153" spans="1:57" ht="15.75" customHeight="1" thickBot="1">
      <c r="A153" s="1817"/>
      <c r="B153" s="1528"/>
      <c r="C153" s="2875" t="s">
        <v>2130</v>
      </c>
      <c r="D153" s="2876"/>
      <c r="E153" s="2876"/>
      <c r="F153" s="2876"/>
      <c r="G153" s="2876"/>
      <c r="H153" s="2876"/>
      <c r="I153" s="2876"/>
      <c r="J153" s="2876"/>
      <c r="K153" s="2876"/>
      <c r="L153" s="2876"/>
      <c r="M153" s="2933"/>
      <c r="N153" s="2934">
        <f>SUM('Sources and Uses Budget'!B85:B86)</f>
        <v>436868</v>
      </c>
      <c r="O153" s="2934"/>
      <c r="P153" s="2934"/>
      <c r="Q153" s="2934"/>
      <c r="R153" s="2934"/>
      <c r="S153" s="2934"/>
      <c r="T153" s="2935"/>
      <c r="U153" s="2936"/>
      <c r="V153" s="2937"/>
      <c r="W153" s="2937"/>
      <c r="X153" s="2937"/>
      <c r="Y153" s="2937"/>
      <c r="Z153" s="2937"/>
      <c r="AA153" s="2937"/>
      <c r="AB153" s="2937"/>
      <c r="AC153" s="2937"/>
      <c r="AD153" s="2937"/>
      <c r="AE153" s="2938"/>
      <c r="AF153" s="1528"/>
      <c r="AG153" s="1528"/>
      <c r="AH153" s="2939" t="s">
        <v>2131</v>
      </c>
      <c r="AI153" s="2940"/>
      <c r="AJ153" s="2940"/>
      <c r="AK153" s="2940"/>
      <c r="AL153" s="2940"/>
      <c r="AM153" s="2940"/>
      <c r="AN153" s="2940"/>
      <c r="AO153" s="2940"/>
      <c r="AP153" s="2940"/>
      <c r="AQ153" s="2940"/>
      <c r="AR153" s="2940"/>
      <c r="AS153" s="2941">
        <f>SUM(AS149:AW151)</f>
        <v>0</v>
      </c>
      <c r="AT153" s="2942"/>
      <c r="AU153" s="2942"/>
      <c r="AV153" s="2942"/>
      <c r="AW153" s="2942"/>
      <c r="AX153" s="1528"/>
      <c r="AY153" s="1528"/>
      <c r="AZ153" s="1528"/>
      <c r="BA153" s="1528"/>
      <c r="BB153" s="1528"/>
      <c r="BC153" s="1528"/>
      <c r="BD153" s="1528"/>
      <c r="BE153" s="1534"/>
    </row>
    <row r="154" spans="1:57" ht="15.75" customHeight="1">
      <c r="A154" s="1817"/>
      <c r="B154" s="1528"/>
      <c r="C154" s="2875" t="s">
        <v>2132</v>
      </c>
      <c r="D154" s="2876"/>
      <c r="E154" s="2876"/>
      <c r="F154" s="2876"/>
      <c r="G154" s="2876"/>
      <c r="H154" s="2876"/>
      <c r="I154" s="2876"/>
      <c r="J154" s="2876"/>
      <c r="K154" s="2876"/>
      <c r="L154" s="2876"/>
      <c r="M154" s="2933"/>
      <c r="N154" s="2934">
        <f>'Sources and Uses Budget'!B8</f>
        <v>4508190</v>
      </c>
      <c r="O154" s="2934"/>
      <c r="P154" s="2934"/>
      <c r="Q154" s="2934"/>
      <c r="R154" s="2934"/>
      <c r="S154" s="2934"/>
      <c r="T154" s="2935"/>
      <c r="U154" s="2936"/>
      <c r="V154" s="2937"/>
      <c r="W154" s="2937"/>
      <c r="X154" s="2937"/>
      <c r="Y154" s="2937"/>
      <c r="Z154" s="2937"/>
      <c r="AA154" s="2937"/>
      <c r="AB154" s="2937"/>
      <c r="AC154" s="2937"/>
      <c r="AD154" s="2937"/>
      <c r="AE154" s="2938"/>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5" t="s">
        <v>2133</v>
      </c>
      <c r="D155" s="2876"/>
      <c r="E155" s="2876"/>
      <c r="F155" s="2876"/>
      <c r="G155" s="2876"/>
      <c r="H155" s="2876"/>
      <c r="I155" s="2876"/>
      <c r="J155" s="2876"/>
      <c r="K155" s="2876"/>
      <c r="L155" s="2876"/>
      <c r="M155" s="2933"/>
      <c r="N155" s="2956"/>
      <c r="O155" s="2956"/>
      <c r="P155" s="2956"/>
      <c r="Q155" s="2956"/>
      <c r="R155" s="2956"/>
      <c r="S155" s="2956"/>
      <c r="T155" s="2957"/>
      <c r="U155" s="2936"/>
      <c r="V155" s="2937"/>
      <c r="W155" s="2937"/>
      <c r="X155" s="2937"/>
      <c r="Y155" s="2937"/>
      <c r="Z155" s="2937"/>
      <c r="AA155" s="2937"/>
      <c r="AB155" s="2937"/>
      <c r="AC155" s="2937"/>
      <c r="AD155" s="2937"/>
      <c r="AE155" s="2938"/>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5" t="s">
        <v>2126</v>
      </c>
      <c r="D156" s="2876"/>
      <c r="E156" s="2876"/>
      <c r="F156" s="2876"/>
      <c r="G156" s="2876"/>
      <c r="H156" s="2876"/>
      <c r="I156" s="2876"/>
      <c r="J156" s="2876"/>
      <c r="K156" s="2876"/>
      <c r="L156" s="2876"/>
      <c r="M156" s="2933"/>
      <c r="N156" s="2956"/>
      <c r="O156" s="2956"/>
      <c r="P156" s="2956"/>
      <c r="Q156" s="2956"/>
      <c r="R156" s="2956"/>
      <c r="S156" s="2956"/>
      <c r="T156" s="2957"/>
      <c r="U156" s="2936"/>
      <c r="V156" s="2937"/>
      <c r="W156" s="2937"/>
      <c r="X156" s="2937"/>
      <c r="Y156" s="2937"/>
      <c r="Z156" s="2937"/>
      <c r="AA156" s="2937"/>
      <c r="AB156" s="2937"/>
      <c r="AC156" s="2937"/>
      <c r="AD156" s="2937"/>
      <c r="AE156" s="2938"/>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3" t="s">
        <v>307</v>
      </c>
      <c r="D157" s="2954"/>
      <c r="E157" s="2897" t="s">
        <v>2116</v>
      </c>
      <c r="F157" s="2897"/>
      <c r="G157" s="2897"/>
      <c r="H157" s="2897"/>
      <c r="I157" s="2897"/>
      <c r="J157" s="2897"/>
      <c r="K157" s="2897"/>
      <c r="L157" s="2897"/>
      <c r="M157" s="2955"/>
      <c r="N157" s="2956"/>
      <c r="O157" s="2956"/>
      <c r="P157" s="2956"/>
      <c r="Q157" s="2956"/>
      <c r="R157" s="2956"/>
      <c r="S157" s="2956"/>
      <c r="T157" s="2957"/>
      <c r="U157" s="2936"/>
      <c r="V157" s="2937"/>
      <c r="W157" s="2937"/>
      <c r="X157" s="2937"/>
      <c r="Y157" s="2937"/>
      <c r="Z157" s="2937"/>
      <c r="AA157" s="2937"/>
      <c r="AB157" s="2937"/>
      <c r="AC157" s="2937"/>
      <c r="AD157" s="2937"/>
      <c r="AE157" s="293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0" t="s">
        <v>307</v>
      </c>
      <c r="D158" s="2951"/>
      <c r="E158" s="2897" t="s">
        <v>2116</v>
      </c>
      <c r="F158" s="2897"/>
      <c r="G158" s="2897"/>
      <c r="H158" s="2897"/>
      <c r="I158" s="2897"/>
      <c r="J158" s="2897"/>
      <c r="K158" s="2897"/>
      <c r="L158" s="2897"/>
      <c r="M158" s="2955"/>
      <c r="N158" s="2956"/>
      <c r="O158" s="2956"/>
      <c r="P158" s="2956"/>
      <c r="Q158" s="2956"/>
      <c r="R158" s="2956"/>
      <c r="S158" s="2956"/>
      <c r="T158" s="2957"/>
      <c r="U158" s="2936"/>
      <c r="V158" s="2937"/>
      <c r="W158" s="2937"/>
      <c r="X158" s="2937"/>
      <c r="Y158" s="2937"/>
      <c r="Z158" s="2937"/>
      <c r="AA158" s="2937"/>
      <c r="AB158" s="2937"/>
      <c r="AC158" s="2937"/>
      <c r="AD158" s="2937"/>
      <c r="AE158" s="2938"/>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9" t="s">
        <v>307</v>
      </c>
      <c r="D159" s="2970"/>
      <c r="E159" s="2903" t="s">
        <v>2116</v>
      </c>
      <c r="F159" s="2903"/>
      <c r="G159" s="2903"/>
      <c r="H159" s="2903"/>
      <c r="I159" s="2903"/>
      <c r="J159" s="2903"/>
      <c r="K159" s="2903"/>
      <c r="L159" s="2903"/>
      <c r="M159" s="2971"/>
      <c r="N159" s="2972"/>
      <c r="O159" s="2972"/>
      <c r="P159" s="2972"/>
      <c r="Q159" s="2972"/>
      <c r="R159" s="2972"/>
      <c r="S159" s="2972"/>
      <c r="T159" s="2973"/>
      <c r="U159" s="2974"/>
      <c r="V159" s="2975"/>
      <c r="W159" s="2975"/>
      <c r="X159" s="2975"/>
      <c r="Y159" s="2975"/>
      <c r="Z159" s="2975"/>
      <c r="AA159" s="2975"/>
      <c r="AB159" s="2975"/>
      <c r="AC159" s="2975"/>
      <c r="AD159" s="2975"/>
      <c r="AE159" s="2976"/>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7" t="s">
        <v>2134</v>
      </c>
      <c r="D160" s="2978"/>
      <c r="E160" s="2978"/>
      <c r="F160" s="2978"/>
      <c r="G160" s="2978"/>
      <c r="H160" s="2978"/>
      <c r="I160" s="2978"/>
      <c r="J160" s="2978"/>
      <c r="K160" s="2978"/>
      <c r="L160" s="2978"/>
      <c r="M160" s="2979"/>
      <c r="N160" s="2980">
        <f>SUM(N152:T159)</f>
        <v>4945058</v>
      </c>
      <c r="O160" s="2981"/>
      <c r="P160" s="2981"/>
      <c r="Q160" s="2981"/>
      <c r="R160" s="2981"/>
      <c r="S160" s="2981"/>
      <c r="T160" s="2982"/>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2" t="s">
        <v>2135</v>
      </c>
      <c r="D161" s="2783"/>
      <c r="E161" s="2783"/>
      <c r="F161" s="2783"/>
      <c r="G161" s="2783"/>
      <c r="H161" s="2783"/>
      <c r="I161" s="2783"/>
      <c r="J161" s="2783"/>
      <c r="K161" s="2783"/>
      <c r="L161" s="2783"/>
      <c r="M161" s="2783"/>
      <c r="N161" s="2958">
        <f>(N150-N160)/J29</f>
        <v>-1121.314606741573</v>
      </c>
      <c r="O161" s="2958"/>
      <c r="P161" s="2958"/>
      <c r="Q161" s="2958"/>
      <c r="R161" s="2958"/>
      <c r="S161" s="2958"/>
      <c r="T161" s="2959"/>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0" t="s">
        <v>2136</v>
      </c>
      <c r="C164" s="2961"/>
      <c r="D164" s="2961"/>
      <c r="E164" s="2961"/>
      <c r="F164" s="2961"/>
      <c r="G164" s="2961"/>
      <c r="H164" s="2961"/>
      <c r="I164" s="2961"/>
      <c r="J164" s="2961"/>
      <c r="K164" s="2961"/>
      <c r="L164" s="2961"/>
      <c r="M164" s="2961"/>
      <c r="N164" s="2961"/>
      <c r="O164" s="2961"/>
      <c r="P164" s="2961"/>
      <c r="Q164" s="2961"/>
      <c r="R164" s="2961"/>
      <c r="S164" s="2961"/>
      <c r="T164" s="2961"/>
      <c r="U164" s="2961"/>
      <c r="V164" s="2961"/>
      <c r="W164" s="2961"/>
      <c r="X164" s="2961"/>
      <c r="Y164" s="2961"/>
      <c r="Z164" s="2961"/>
      <c r="AA164" s="2961"/>
      <c r="AB164" s="2961"/>
      <c r="AC164" s="2961"/>
      <c r="AD164" s="2961"/>
      <c r="AE164" s="2961"/>
      <c r="AF164" s="2961"/>
      <c r="AG164" s="2961"/>
      <c r="AH164" s="2961"/>
      <c r="AI164" s="2961"/>
      <c r="AJ164" s="2961"/>
      <c r="AK164" s="2961"/>
      <c r="AL164" s="2961"/>
      <c r="AM164" s="2961"/>
      <c r="AN164" s="2961"/>
      <c r="AO164" s="2961"/>
      <c r="AP164" s="2961"/>
      <c r="AQ164" s="2961"/>
      <c r="AR164" s="2961"/>
      <c r="AS164" s="2961"/>
      <c r="AT164" s="2961"/>
      <c r="AU164" s="2961"/>
      <c r="AV164" s="2961"/>
      <c r="AW164" s="2961"/>
      <c r="AX164" s="2961"/>
      <c r="AY164" s="2961"/>
      <c r="AZ164" s="2961"/>
      <c r="BA164" s="2961"/>
      <c r="BB164" s="2961"/>
      <c r="BC164" s="2961"/>
      <c r="BD164" s="2962"/>
      <c r="BE164" s="1534"/>
    </row>
    <row r="165" spans="1:57" ht="15.75" customHeight="1">
      <c r="A165" s="1817"/>
      <c r="B165" s="2963"/>
      <c r="C165" s="2964"/>
      <c r="D165" s="2964"/>
      <c r="E165" s="2964"/>
      <c r="F165" s="2964"/>
      <c r="G165" s="2964"/>
      <c r="H165" s="2964"/>
      <c r="I165" s="2964"/>
      <c r="J165" s="2964"/>
      <c r="K165" s="2964"/>
      <c r="L165" s="2964"/>
      <c r="M165" s="2964"/>
      <c r="N165" s="2964"/>
      <c r="O165" s="2964"/>
      <c r="P165" s="2964"/>
      <c r="Q165" s="2964"/>
      <c r="R165" s="2964"/>
      <c r="S165" s="2964"/>
      <c r="T165" s="2964"/>
      <c r="U165" s="2964"/>
      <c r="V165" s="2964"/>
      <c r="W165" s="2964"/>
      <c r="X165" s="2964"/>
      <c r="Y165" s="2964"/>
      <c r="Z165" s="2964"/>
      <c r="AA165" s="2964"/>
      <c r="AB165" s="2964"/>
      <c r="AC165" s="2964"/>
      <c r="AD165" s="2964"/>
      <c r="AE165" s="2964"/>
      <c r="AF165" s="2964"/>
      <c r="AG165" s="2964"/>
      <c r="AH165" s="2964"/>
      <c r="AI165" s="2964"/>
      <c r="AJ165" s="2964"/>
      <c r="AK165" s="2964"/>
      <c r="AL165" s="2964"/>
      <c r="AM165" s="2964"/>
      <c r="AN165" s="2964"/>
      <c r="AO165" s="2964"/>
      <c r="AP165" s="2964"/>
      <c r="AQ165" s="2964"/>
      <c r="AR165" s="2964"/>
      <c r="AS165" s="2964"/>
      <c r="AT165" s="2964"/>
      <c r="AU165" s="2964"/>
      <c r="AV165" s="2964"/>
      <c r="AW165" s="2964"/>
      <c r="AX165" s="2964"/>
      <c r="AY165" s="2964"/>
      <c r="AZ165" s="2964"/>
      <c r="BA165" s="2964"/>
      <c r="BB165" s="2964"/>
      <c r="BC165" s="2964"/>
      <c r="BD165" s="2965"/>
      <c r="BE165" s="1534"/>
    </row>
    <row r="166" spans="1:57" ht="15.75" customHeight="1">
      <c r="A166" s="1817"/>
      <c r="B166" s="2966" t="s">
        <v>2137</v>
      </c>
      <c r="C166" s="2967"/>
      <c r="D166" s="2967"/>
      <c r="E166" s="2967"/>
      <c r="F166" s="2967"/>
      <c r="G166" s="2967"/>
      <c r="H166" s="2967"/>
      <c r="I166" s="2967"/>
      <c r="J166" s="2967"/>
      <c r="K166" s="2967"/>
      <c r="L166" s="2967"/>
      <c r="M166" s="2967"/>
      <c r="N166" s="2967"/>
      <c r="O166" s="2967"/>
      <c r="P166" s="2967"/>
      <c r="Q166" s="2967"/>
      <c r="R166" s="2967"/>
      <c r="S166" s="2967"/>
      <c r="T166" s="2967"/>
      <c r="U166" s="2967"/>
      <c r="V166" s="2967"/>
      <c r="W166" s="2967"/>
      <c r="X166" s="2967"/>
      <c r="Y166" s="2967"/>
      <c r="Z166" s="2967"/>
      <c r="AA166" s="2967"/>
      <c r="AB166" s="2967"/>
      <c r="AC166" s="2967"/>
      <c r="AD166" s="2967"/>
      <c r="AE166" s="2967"/>
      <c r="AF166" s="2967"/>
      <c r="AG166" s="2967"/>
      <c r="AH166" s="2967"/>
      <c r="AI166" s="2967"/>
      <c r="AJ166" s="2967"/>
      <c r="AK166" s="2967"/>
      <c r="AL166" s="2967"/>
      <c r="AM166" s="2967"/>
      <c r="AN166" s="2967"/>
      <c r="AO166" s="2967"/>
      <c r="AP166" s="2967"/>
      <c r="AQ166" s="2967"/>
      <c r="AR166" s="2967"/>
      <c r="AS166" s="2967"/>
      <c r="AT166" s="2967"/>
      <c r="AU166" s="2967"/>
      <c r="AV166" s="2967"/>
      <c r="AW166" s="2967"/>
      <c r="AX166" s="2967"/>
      <c r="AY166" s="2967"/>
      <c r="AZ166" s="2967"/>
      <c r="BA166" s="2967"/>
      <c r="BB166" s="2967"/>
      <c r="BC166" s="2967"/>
      <c r="BD166" s="2968"/>
      <c r="BE166" s="1534"/>
    </row>
    <row r="167" spans="1:57" ht="15.75" customHeight="1">
      <c r="A167" s="1817"/>
      <c r="B167" s="2966" t="s">
        <v>2138</v>
      </c>
      <c r="C167" s="2967"/>
      <c r="D167" s="2967"/>
      <c r="E167" s="2967"/>
      <c r="F167" s="2967"/>
      <c r="G167" s="2967"/>
      <c r="H167" s="2967"/>
      <c r="I167" s="2967"/>
      <c r="J167" s="2967"/>
      <c r="K167" s="2967"/>
      <c r="L167" s="2967"/>
      <c r="M167" s="2967"/>
      <c r="N167" s="2967"/>
      <c r="O167" s="2967"/>
      <c r="P167" s="2967"/>
      <c r="Q167" s="2967"/>
      <c r="R167" s="2967"/>
      <c r="S167" s="2967"/>
      <c r="T167" s="2967"/>
      <c r="U167" s="2967"/>
      <c r="V167" s="2967"/>
      <c r="W167" s="2967"/>
      <c r="X167" s="2967"/>
      <c r="Y167" s="2967"/>
      <c r="Z167" s="2967"/>
      <c r="AA167" s="2967"/>
      <c r="AB167" s="2967"/>
      <c r="AC167" s="2967"/>
      <c r="AD167" s="2967"/>
      <c r="AE167" s="2967"/>
      <c r="AF167" s="2967"/>
      <c r="AG167" s="2967"/>
      <c r="AH167" s="2967"/>
      <c r="AI167" s="2967"/>
      <c r="AJ167" s="2967"/>
      <c r="AK167" s="2967"/>
      <c r="AL167" s="2967"/>
      <c r="AM167" s="2967"/>
      <c r="AN167" s="2967"/>
      <c r="AO167" s="2967"/>
      <c r="AP167" s="2967"/>
      <c r="AQ167" s="2967"/>
      <c r="AR167" s="2967"/>
      <c r="AS167" s="2967"/>
      <c r="AT167" s="2967"/>
      <c r="AU167" s="2967"/>
      <c r="AV167" s="2967"/>
      <c r="AW167" s="2967"/>
      <c r="AX167" s="2967"/>
      <c r="AY167" s="2967"/>
      <c r="AZ167" s="2967"/>
      <c r="BA167" s="2967"/>
      <c r="BB167" s="2967"/>
      <c r="BC167" s="2967"/>
      <c r="BD167" s="2968"/>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9" t="s">
        <v>2139</v>
      </c>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2" t="s">
        <v>2141</v>
      </c>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3" t="s">
        <v>2142</v>
      </c>
      <c r="I175" s="2993"/>
      <c r="J175" s="2993"/>
      <c r="K175" s="2993"/>
      <c r="L175" s="2993"/>
      <c r="M175" s="2993"/>
      <c r="N175" s="2993"/>
      <c r="O175" s="2993"/>
      <c r="P175" s="2993"/>
      <c r="Q175" s="2993"/>
      <c r="R175" s="2993"/>
      <c r="S175" s="2993"/>
      <c r="T175" s="2993"/>
      <c r="U175" s="2993"/>
      <c r="V175" s="2993"/>
      <c r="W175" s="2993"/>
      <c r="X175" s="2993"/>
      <c r="Y175" s="2993"/>
      <c r="Z175" s="2993"/>
      <c r="AA175" s="2993"/>
      <c r="AB175" s="2993"/>
      <c r="AC175" s="2993"/>
      <c r="AD175" s="2993"/>
      <c r="AE175" s="2993"/>
      <c r="AF175" s="2993"/>
      <c r="AG175" s="2993"/>
      <c r="AH175" s="2993"/>
      <c r="AI175" s="2993"/>
      <c r="AJ175" s="2993"/>
      <c r="AK175" s="2993"/>
      <c r="AL175" s="2993"/>
      <c r="AM175" s="2993"/>
      <c r="AN175" s="2993"/>
      <c r="AO175" s="2993"/>
      <c r="AP175" s="2993"/>
      <c r="AQ175" s="2993"/>
      <c r="AR175" s="2993"/>
      <c r="AS175" s="2993"/>
      <c r="AT175" s="2993"/>
      <c r="AU175" s="2993"/>
      <c r="AV175" s="2993"/>
      <c r="AW175" s="2993"/>
      <c r="AX175" s="2993"/>
      <c r="AY175" s="2993"/>
      <c r="AZ175" s="2993"/>
      <c r="BA175" s="1554"/>
      <c r="BB175" s="1554"/>
      <c r="BC175" s="1554"/>
      <c r="BD175" s="1534"/>
      <c r="BE175" s="1534"/>
    </row>
    <row r="176" spans="1:57" ht="15.75" customHeight="1">
      <c r="A176" s="1817"/>
      <c r="B176" s="1527"/>
      <c r="C176" s="1554"/>
      <c r="D176" s="1554"/>
      <c r="E176" s="1554"/>
      <c r="F176" s="1554"/>
      <c r="G176" s="1554"/>
      <c r="H176" s="2993"/>
      <c r="I176" s="2993"/>
      <c r="J176" s="2993"/>
      <c r="K176" s="2993"/>
      <c r="L176" s="2993"/>
      <c r="M176" s="2993"/>
      <c r="N176" s="2993"/>
      <c r="O176" s="2993"/>
      <c r="P176" s="2993"/>
      <c r="Q176" s="2993"/>
      <c r="R176" s="2993"/>
      <c r="S176" s="2993"/>
      <c r="T176" s="2993"/>
      <c r="U176" s="2993"/>
      <c r="V176" s="2993"/>
      <c r="W176" s="2993"/>
      <c r="X176" s="2993"/>
      <c r="Y176" s="2993"/>
      <c r="Z176" s="2993"/>
      <c r="AA176" s="2993"/>
      <c r="AB176" s="2993"/>
      <c r="AC176" s="2993"/>
      <c r="AD176" s="2993"/>
      <c r="AE176" s="2993"/>
      <c r="AF176" s="2993"/>
      <c r="AG176" s="2993"/>
      <c r="AH176" s="2993"/>
      <c r="AI176" s="2993"/>
      <c r="AJ176" s="2993"/>
      <c r="AK176" s="2993"/>
      <c r="AL176" s="2993"/>
      <c r="AM176" s="2993"/>
      <c r="AN176" s="2993"/>
      <c r="AO176" s="2993"/>
      <c r="AP176" s="2993"/>
      <c r="AQ176" s="2993"/>
      <c r="AR176" s="2993"/>
      <c r="AS176" s="2993"/>
      <c r="AT176" s="2993"/>
      <c r="AU176" s="2993"/>
      <c r="AV176" s="2993"/>
      <c r="AW176" s="2993"/>
      <c r="AX176" s="2993"/>
      <c r="AY176" s="2993"/>
      <c r="AZ176" s="2993"/>
      <c r="BA176" s="1554"/>
      <c r="BB176" s="1554"/>
      <c r="BC176" s="1554"/>
      <c r="BD176" s="1534"/>
      <c r="BE176" s="1534"/>
    </row>
    <row r="177" spans="1:57" ht="15.75" customHeight="1">
      <c r="A177" s="1817"/>
      <c r="B177" s="1527"/>
      <c r="C177" s="1554"/>
      <c r="D177" s="1554"/>
      <c r="E177" s="1554"/>
      <c r="F177" s="1554"/>
      <c r="G177" s="1554"/>
      <c r="H177" s="2993"/>
      <c r="I177" s="2993"/>
      <c r="J177" s="2993"/>
      <c r="K177" s="2993"/>
      <c r="L177" s="2993"/>
      <c r="M177" s="2993"/>
      <c r="N177" s="2993"/>
      <c r="O177" s="2993"/>
      <c r="P177" s="2993"/>
      <c r="Q177" s="2993"/>
      <c r="R177" s="2993"/>
      <c r="S177" s="2993"/>
      <c r="T177" s="2993"/>
      <c r="U177" s="2993"/>
      <c r="V177" s="2993"/>
      <c r="W177" s="2993"/>
      <c r="X177" s="2993"/>
      <c r="Y177" s="2993"/>
      <c r="Z177" s="2993"/>
      <c r="AA177" s="2993"/>
      <c r="AB177" s="2993"/>
      <c r="AC177" s="2993"/>
      <c r="AD177" s="2993"/>
      <c r="AE177" s="2993"/>
      <c r="AF177" s="2993"/>
      <c r="AG177" s="2993"/>
      <c r="AH177" s="2993"/>
      <c r="AI177" s="2993"/>
      <c r="AJ177" s="2993"/>
      <c r="AK177" s="2993"/>
      <c r="AL177" s="2993"/>
      <c r="AM177" s="2993"/>
      <c r="AN177" s="2993"/>
      <c r="AO177" s="2993"/>
      <c r="AP177" s="2993"/>
      <c r="AQ177" s="2993"/>
      <c r="AR177" s="2993"/>
      <c r="AS177" s="2993"/>
      <c r="AT177" s="2993"/>
      <c r="AU177" s="2993"/>
      <c r="AV177" s="2993"/>
      <c r="AW177" s="2993"/>
      <c r="AX177" s="2993"/>
      <c r="AY177" s="2993"/>
      <c r="AZ177" s="2993"/>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4" t="s">
        <v>2143</v>
      </c>
      <c r="I180" s="2994"/>
      <c r="J180" s="2994"/>
      <c r="K180" s="2994"/>
      <c r="L180" s="2994"/>
      <c r="M180" s="2994"/>
      <c r="N180" s="2994"/>
      <c r="O180" s="2994"/>
      <c r="P180" s="2994"/>
      <c r="Q180" s="2994"/>
      <c r="R180" s="2994"/>
      <c r="S180" s="2994"/>
      <c r="T180" s="2994"/>
      <c r="U180" s="2994"/>
      <c r="V180" s="2994"/>
      <c r="W180" s="2994"/>
      <c r="X180" s="2994"/>
      <c r="Y180" s="2994"/>
      <c r="Z180" s="2994"/>
      <c r="AA180" s="2994"/>
      <c r="AB180" s="2994"/>
      <c r="AC180" s="2994"/>
      <c r="AD180" s="2994"/>
      <c r="AE180" s="2994"/>
      <c r="AF180" s="2994"/>
      <c r="AG180" s="2994"/>
      <c r="AH180" s="2994"/>
      <c r="AI180" s="2994"/>
      <c r="AJ180" s="2994"/>
      <c r="AK180" s="2994"/>
      <c r="AL180" s="2994"/>
      <c r="AM180" s="2994"/>
      <c r="AN180" s="2994"/>
      <c r="AO180" s="2994"/>
      <c r="AP180" s="2994"/>
      <c r="AQ180" s="2994"/>
      <c r="AR180" s="2994"/>
      <c r="AS180" s="2994"/>
      <c r="AT180" s="2994"/>
      <c r="AU180" s="2994"/>
      <c r="AV180" s="2994"/>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7" t="s">
        <v>2144</v>
      </c>
      <c r="I182" s="2987"/>
      <c r="J182" s="2987"/>
      <c r="K182" s="2987"/>
      <c r="L182" s="1563"/>
      <c r="M182" s="1563"/>
      <c r="N182" s="1563"/>
      <c r="O182" s="1563"/>
      <c r="P182" s="1563"/>
      <c r="Q182" s="1563"/>
      <c r="R182" s="1563"/>
      <c r="S182" s="2984"/>
      <c r="T182" s="2985"/>
      <c r="U182" s="2985"/>
      <c r="V182" s="2985"/>
      <c r="W182" s="2985"/>
      <c r="X182" s="2985"/>
      <c r="Y182" s="2985"/>
      <c r="Z182" s="2985"/>
      <c r="AA182" s="2985"/>
      <c r="AB182" s="2985"/>
      <c r="AC182" s="2985"/>
      <c r="AD182" s="2985"/>
      <c r="AE182" s="2985"/>
      <c r="AF182" s="2985"/>
      <c r="AG182" s="2985"/>
      <c r="AH182" s="2985"/>
      <c r="AI182" s="2985"/>
      <c r="AJ182" s="2986"/>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7" t="s">
        <v>2145</v>
      </c>
      <c r="I184" s="2987"/>
      <c r="J184" s="2987"/>
      <c r="K184" s="1565"/>
      <c r="L184" s="1563"/>
      <c r="M184" s="1563"/>
      <c r="N184" s="1563"/>
      <c r="O184" s="1563"/>
      <c r="P184" s="1563"/>
      <c r="Q184" s="1563"/>
      <c r="R184" s="1563"/>
      <c r="S184" s="2984"/>
      <c r="T184" s="2985"/>
      <c r="U184" s="2985"/>
      <c r="V184" s="2985"/>
      <c r="W184" s="2985"/>
      <c r="X184" s="2985"/>
      <c r="Y184" s="2985"/>
      <c r="Z184" s="2985"/>
      <c r="AA184" s="2985"/>
      <c r="AB184" s="2985"/>
      <c r="AC184" s="2985"/>
      <c r="AD184" s="2985"/>
      <c r="AE184" s="2985"/>
      <c r="AF184" s="2985"/>
      <c r="AG184" s="2985"/>
      <c r="AH184" s="2985"/>
      <c r="AI184" s="2985"/>
      <c r="AJ184" s="2986"/>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7" t="s">
        <v>463</v>
      </c>
      <c r="I186" s="2987"/>
      <c r="J186" s="1565"/>
      <c r="K186" s="1565"/>
      <c r="L186" s="1563"/>
      <c r="M186" s="1563"/>
      <c r="N186" s="1563"/>
      <c r="O186" s="1563"/>
      <c r="P186" s="1563"/>
      <c r="Q186" s="1563"/>
      <c r="R186" s="1563"/>
      <c r="S186" s="2984"/>
      <c r="T186" s="2985"/>
      <c r="U186" s="2985"/>
      <c r="V186" s="2985"/>
      <c r="W186" s="2985"/>
      <c r="X186" s="2985"/>
      <c r="Y186" s="2985"/>
      <c r="Z186" s="2985"/>
      <c r="AA186" s="2985"/>
      <c r="AB186" s="2985"/>
      <c r="AC186" s="2985"/>
      <c r="AD186" s="2985"/>
      <c r="AE186" s="2985"/>
      <c r="AF186" s="2985"/>
      <c r="AG186" s="2985"/>
      <c r="AH186" s="2985"/>
      <c r="AI186" s="2985"/>
      <c r="AJ186" s="2986"/>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8" t="s">
        <v>2146</v>
      </c>
      <c r="I188" s="2988"/>
      <c r="J188" s="2988"/>
      <c r="K188" s="2988"/>
      <c r="L188" s="2988"/>
      <c r="M188" s="2988"/>
      <c r="N188" s="2988"/>
      <c r="O188" s="2988"/>
      <c r="P188" s="1563"/>
      <c r="Q188" s="1563"/>
      <c r="R188" s="1563"/>
      <c r="S188" s="2984"/>
      <c r="T188" s="2985"/>
      <c r="U188" s="2985"/>
      <c r="V188" s="2985"/>
      <c r="W188" s="2985"/>
      <c r="X188" s="2985"/>
      <c r="Y188" s="2985"/>
      <c r="Z188" s="2985"/>
      <c r="AA188" s="2985"/>
      <c r="AB188" s="2985"/>
      <c r="AC188" s="2985"/>
      <c r="AD188" s="2985"/>
      <c r="AE188" s="2985"/>
      <c r="AF188" s="2985"/>
      <c r="AG188" s="2985"/>
      <c r="AH188" s="2985"/>
      <c r="AI188" s="2985"/>
      <c r="AJ188" s="2986"/>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3" t="s">
        <v>2147</v>
      </c>
      <c r="I190" s="2983"/>
      <c r="J190" s="1563"/>
      <c r="K190" s="1563"/>
      <c r="L190" s="1563"/>
      <c r="M190" s="1563"/>
      <c r="N190" s="1563"/>
      <c r="O190" s="1563"/>
      <c r="P190" s="1563"/>
      <c r="Q190" s="1563"/>
      <c r="R190" s="1563"/>
      <c r="S190" s="2984"/>
      <c r="T190" s="2985"/>
      <c r="U190" s="2985"/>
      <c r="V190" s="2985"/>
      <c r="W190" s="2985"/>
      <c r="X190" s="2985"/>
      <c r="Y190" s="2985"/>
      <c r="Z190" s="2985"/>
      <c r="AA190" s="2985"/>
      <c r="AB190" s="2985"/>
      <c r="AC190" s="2985"/>
      <c r="AD190" s="2985"/>
      <c r="AE190" s="2985"/>
      <c r="AF190" s="2985"/>
      <c r="AG190" s="2985"/>
      <c r="AH190" s="2985"/>
      <c r="AI190" s="2985"/>
      <c r="AJ190" s="2986"/>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B75" sqref="B7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4"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41" t="s">
        <v>1556</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row>
    <row r="2" spans="1:42" s="926" customFormat="1" ht="12.75" customHeight="1" thickBot="1">
      <c r="A2" s="3242"/>
      <c r="B2" s="3242"/>
      <c r="C2" s="3242"/>
      <c r="D2" s="3242"/>
      <c r="E2" s="3242"/>
      <c r="F2" s="3242"/>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1557</v>
      </c>
      <c r="B4" s="931" t="s">
        <v>1558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1559</v>
      </c>
      <c r="B7" s="931" t="s">
        <v>1560</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17" t="s">
        <v>1561</v>
      </c>
      <c r="AF7" s="3217"/>
      <c r="AG7" s="3217"/>
      <c r="AH7" s="3217"/>
      <c r="AI7" s="3217"/>
      <c r="AJ7" s="3217"/>
      <c r="AK7" s="3217"/>
      <c r="AL7" s="932"/>
      <c r="AM7" s="932"/>
      <c r="AN7" s="928"/>
    </row>
    <row r="8" spans="1:42" s="929" customFormat="1" ht="12.75" customHeight="1">
      <c r="A8" s="930"/>
      <c r="B8" s="931" t="s">
        <v>2225</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1562</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6" t="s">
        <v>625</v>
      </c>
      <c r="C12" s="3226"/>
      <c r="D12" s="939"/>
      <c r="E12" s="940" t="s">
        <v>1563</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3"/>
      <c r="AH12" s="3243"/>
      <c r="AI12" s="3243"/>
      <c r="AJ12" s="3244"/>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6" t="s">
        <v>625</v>
      </c>
      <c r="C15" s="3226"/>
      <c r="D15" s="939"/>
      <c r="E15" s="3245" t="s">
        <v>1564</v>
      </c>
      <c r="F15" s="3246"/>
      <c r="G15" s="3246"/>
      <c r="H15" s="3246"/>
      <c r="I15" s="3246"/>
      <c r="J15" s="3246"/>
      <c r="K15" s="3246"/>
      <c r="L15" s="3246"/>
      <c r="M15" s="3246"/>
      <c r="N15" s="3246"/>
      <c r="O15" s="3246"/>
      <c r="P15" s="3246"/>
      <c r="Q15" s="3246"/>
      <c r="R15" s="3246"/>
      <c r="S15" s="3246"/>
      <c r="T15" s="3246"/>
      <c r="U15" s="3246"/>
      <c r="V15" s="3246"/>
      <c r="W15" s="3246"/>
      <c r="X15" s="3246"/>
      <c r="Y15" s="3246"/>
      <c r="Z15" s="3246"/>
      <c r="AA15" s="3246"/>
      <c r="AB15" s="3246"/>
      <c r="AC15" s="3246"/>
      <c r="AD15" s="3246"/>
      <c r="AE15" s="3246"/>
      <c r="AF15" s="3246"/>
      <c r="AG15" s="3246"/>
      <c r="AH15" s="3246"/>
      <c r="AI15" s="3246"/>
      <c r="AJ15" s="3247"/>
      <c r="AK15" s="932"/>
      <c r="AL15" s="932"/>
      <c r="AM15" s="932"/>
      <c r="AN15" s="928"/>
      <c r="AO15" s="942">
        <f>IF($B24="yes",20,0)</f>
        <v>0</v>
      </c>
      <c r="AP15" s="51"/>
    </row>
    <row r="16" spans="1:42" s="929" customFormat="1" ht="12.75" customHeight="1">
      <c r="A16" s="932"/>
      <c r="B16" s="932"/>
      <c r="C16" s="932"/>
      <c r="D16" s="943"/>
      <c r="E16" s="3248"/>
      <c r="F16" s="3249"/>
      <c r="G16" s="3249"/>
      <c r="H16" s="3249"/>
      <c r="I16" s="3249"/>
      <c r="J16" s="3249"/>
      <c r="K16" s="3249"/>
      <c r="L16" s="3249"/>
      <c r="M16" s="3249"/>
      <c r="N16" s="3249"/>
      <c r="O16" s="3249"/>
      <c r="P16" s="3249"/>
      <c r="Q16" s="3249"/>
      <c r="R16" s="3249"/>
      <c r="S16" s="3249"/>
      <c r="T16" s="3249"/>
      <c r="U16" s="3249"/>
      <c r="V16" s="3249"/>
      <c r="W16" s="3249"/>
      <c r="X16" s="3249"/>
      <c r="Y16" s="3249"/>
      <c r="Z16" s="3249"/>
      <c r="AA16" s="3249"/>
      <c r="AB16" s="3249"/>
      <c r="AC16" s="3249"/>
      <c r="AD16" s="3249"/>
      <c r="AE16" s="3249"/>
      <c r="AF16" s="3249"/>
      <c r="AG16" s="3249"/>
      <c r="AH16" s="3249"/>
      <c r="AI16" s="3249"/>
      <c r="AJ16" s="3250"/>
      <c r="AK16" s="932"/>
      <c r="AL16" s="932"/>
      <c r="AM16" s="932"/>
      <c r="AN16" s="928"/>
      <c r="AO16" s="929">
        <f>IF(SUM(AO12:AO15)&gt;20,20,(SUM(AO12:AO15)))</f>
        <v>0</v>
      </c>
      <c r="AP16" s="929" t="s">
        <v>1565</v>
      </c>
    </row>
    <row r="17" spans="1:42" s="929" customFormat="1" ht="12.75" customHeight="1">
      <c r="A17" s="932"/>
      <c r="B17" s="932"/>
      <c r="C17" s="932"/>
      <c r="D17" s="943"/>
      <c r="E17" s="3248"/>
      <c r="F17" s="3249"/>
      <c r="G17" s="3249"/>
      <c r="H17" s="3249"/>
      <c r="I17" s="3249"/>
      <c r="J17" s="3249"/>
      <c r="K17" s="3249"/>
      <c r="L17" s="3249"/>
      <c r="M17" s="3249"/>
      <c r="N17" s="3249"/>
      <c r="O17" s="3249"/>
      <c r="P17" s="3249"/>
      <c r="Q17" s="3249"/>
      <c r="R17" s="3249"/>
      <c r="S17" s="3249"/>
      <c r="T17" s="3249"/>
      <c r="U17" s="3249"/>
      <c r="V17" s="3249"/>
      <c r="W17" s="3249"/>
      <c r="X17" s="3249"/>
      <c r="Y17" s="3249"/>
      <c r="Z17" s="3249"/>
      <c r="AA17" s="3249"/>
      <c r="AB17" s="3249"/>
      <c r="AC17" s="3249"/>
      <c r="AD17" s="3249"/>
      <c r="AE17" s="3249"/>
      <c r="AF17" s="3249"/>
      <c r="AG17" s="3249"/>
      <c r="AH17" s="3249"/>
      <c r="AI17" s="3249"/>
      <c r="AJ17" s="3250"/>
      <c r="AK17" s="932"/>
      <c r="AL17" s="932"/>
      <c r="AM17" s="932"/>
      <c r="AN17" s="928"/>
    </row>
    <row r="18" spans="1:42" s="929" customFormat="1" ht="12.75" customHeight="1">
      <c r="A18" s="932"/>
      <c r="B18" s="932"/>
      <c r="C18" s="932"/>
      <c r="D18" s="943"/>
      <c r="E18" s="944" t="s">
        <v>1566</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2"/>
      <c r="F19" s="3253"/>
      <c r="G19" s="3253"/>
      <c r="H19" s="3253"/>
      <c r="I19" s="3253"/>
      <c r="J19" s="3253"/>
      <c r="K19" s="3253"/>
      <c r="L19" s="3253"/>
      <c r="M19" s="3253"/>
      <c r="N19" s="3253"/>
      <c r="O19" s="3253"/>
      <c r="P19" s="3253"/>
      <c r="Q19" s="3253"/>
      <c r="R19" s="3253"/>
      <c r="S19" s="3253"/>
      <c r="T19" s="3253"/>
      <c r="U19" s="3253"/>
      <c r="V19" s="3253"/>
      <c r="W19" s="3253"/>
      <c r="X19" s="3253"/>
      <c r="Y19" s="3253"/>
      <c r="Z19" s="3253"/>
      <c r="AA19" s="3253"/>
      <c r="AB19" s="3253"/>
      <c r="AC19" s="3253"/>
      <c r="AD19" s="3253"/>
      <c r="AE19" s="3253"/>
      <c r="AF19" s="3253"/>
      <c r="AG19" s="3253"/>
      <c r="AH19" s="3253"/>
      <c r="AI19" s="3253"/>
      <c r="AJ19" s="3254"/>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6" t="s">
        <v>625</v>
      </c>
      <c r="C21" s="3226"/>
      <c r="D21" s="939"/>
      <c r="E21" s="3255" t="s">
        <v>1567</v>
      </c>
      <c r="F21" s="3256"/>
      <c r="G21" s="3256"/>
      <c r="H21" s="3256"/>
      <c r="I21" s="3256"/>
      <c r="J21" s="3256"/>
      <c r="K21" s="3256"/>
      <c r="L21" s="3256"/>
      <c r="M21" s="3256"/>
      <c r="N21" s="3256"/>
      <c r="O21" s="3256"/>
      <c r="P21" s="3256"/>
      <c r="Q21" s="3256"/>
      <c r="R21" s="3256"/>
      <c r="S21" s="3256"/>
      <c r="T21" s="3256"/>
      <c r="U21" s="3256"/>
      <c r="V21" s="3256"/>
      <c r="W21" s="3256"/>
      <c r="X21" s="3256"/>
      <c r="Y21" s="3256"/>
      <c r="Z21" s="3256"/>
      <c r="AA21" s="3256"/>
      <c r="AB21" s="3256"/>
      <c r="AC21" s="3256"/>
      <c r="AD21" s="3256"/>
      <c r="AE21" s="3256"/>
      <c r="AF21" s="3256"/>
      <c r="AG21" s="3256"/>
      <c r="AH21" s="3256"/>
      <c r="AI21" s="3256"/>
      <c r="AJ21" s="3257"/>
      <c r="AK21" s="932"/>
      <c r="AL21" s="932"/>
      <c r="AM21" s="932"/>
      <c r="AN21" s="928"/>
      <c r="AO21" s="929">
        <f>SUM(AO20)</f>
        <v>0</v>
      </c>
      <c r="AP21" s="929" t="s">
        <v>1565</v>
      </c>
    </row>
    <row r="22" spans="1:42" s="929" customFormat="1" ht="12.75" customHeight="1">
      <c r="A22" s="932"/>
      <c r="B22" s="932"/>
      <c r="C22" s="932"/>
      <c r="D22" s="942"/>
      <c r="E22" s="3258"/>
      <c r="F22" s="3259"/>
      <c r="G22" s="3259"/>
      <c r="H22" s="3259"/>
      <c r="I22" s="3259"/>
      <c r="J22" s="3259"/>
      <c r="K22" s="3259"/>
      <c r="L22" s="3259"/>
      <c r="M22" s="3259"/>
      <c r="N22" s="3259"/>
      <c r="O22" s="3259"/>
      <c r="P22" s="3259"/>
      <c r="Q22" s="3259"/>
      <c r="R22" s="3259"/>
      <c r="S22" s="3259"/>
      <c r="T22" s="3259"/>
      <c r="U22" s="3259"/>
      <c r="V22" s="3259"/>
      <c r="W22" s="3259"/>
      <c r="X22" s="3259"/>
      <c r="Y22" s="3259"/>
      <c r="Z22" s="3259"/>
      <c r="AA22" s="3259"/>
      <c r="AB22" s="3259"/>
      <c r="AC22" s="3259"/>
      <c r="AD22" s="3259"/>
      <c r="AE22" s="3259"/>
      <c r="AF22" s="3259"/>
      <c r="AG22" s="3259"/>
      <c r="AH22" s="3259"/>
      <c r="AI22" s="3259"/>
      <c r="AJ22" s="3260"/>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26" t="s">
        <v>625</v>
      </c>
      <c r="C24" s="3226"/>
      <c r="D24" s="939"/>
      <c r="E24" s="3157" t="s">
        <v>1568</v>
      </c>
      <c r="F24" s="3158"/>
      <c r="G24" s="3158"/>
      <c r="H24" s="3158"/>
      <c r="I24" s="3158"/>
      <c r="J24" s="3158"/>
      <c r="K24" s="3158"/>
      <c r="L24" s="3158"/>
      <c r="M24" s="3158"/>
      <c r="N24" s="3158"/>
      <c r="O24" s="3158"/>
      <c r="P24" s="3158"/>
      <c r="Q24" s="3158"/>
      <c r="R24" s="3158"/>
      <c r="S24" s="3158"/>
      <c r="T24" s="3158"/>
      <c r="U24" s="3158"/>
      <c r="V24" s="3158"/>
      <c r="W24" s="3158"/>
      <c r="X24" s="3158"/>
      <c r="Y24" s="3158"/>
      <c r="Z24" s="3158"/>
      <c r="AA24" s="3158"/>
      <c r="AB24" s="3158"/>
      <c r="AC24" s="3158"/>
      <c r="AD24" s="3158"/>
      <c r="AE24" s="3158"/>
      <c r="AF24" s="3158"/>
      <c r="AG24" s="3158"/>
      <c r="AH24" s="3158"/>
      <c r="AI24" s="3158"/>
      <c r="AJ24" s="3159"/>
      <c r="AK24" s="932"/>
      <c r="AL24" s="932"/>
      <c r="AM24" s="932"/>
      <c r="AN24" s="928"/>
      <c r="AO24" s="942">
        <f>IF($B39="yes",6,0)</f>
        <v>0</v>
      </c>
    </row>
    <row r="25" spans="1:42" s="929" customFormat="1" ht="12.75" customHeight="1">
      <c r="A25" s="932"/>
      <c r="B25" s="932"/>
      <c r="C25" s="932"/>
      <c r="D25" s="942"/>
      <c r="E25" s="3227"/>
      <c r="F25" s="3228"/>
      <c r="G25" s="3228"/>
      <c r="H25" s="3228"/>
      <c r="I25" s="3228"/>
      <c r="J25" s="3228"/>
      <c r="K25" s="3228"/>
      <c r="L25" s="3228"/>
      <c r="M25" s="3228"/>
      <c r="N25" s="3228"/>
      <c r="O25" s="3228"/>
      <c r="P25" s="3228"/>
      <c r="Q25" s="3228"/>
      <c r="R25" s="3228"/>
      <c r="S25" s="3228"/>
      <c r="T25" s="3228"/>
      <c r="U25" s="3228"/>
      <c r="V25" s="3228"/>
      <c r="W25" s="3228"/>
      <c r="X25" s="3228"/>
      <c r="Y25" s="3228"/>
      <c r="Z25" s="3228"/>
      <c r="AA25" s="3228"/>
      <c r="AB25" s="3228"/>
      <c r="AC25" s="3228"/>
      <c r="AD25" s="3228"/>
      <c r="AE25" s="3228"/>
      <c r="AF25" s="3228"/>
      <c r="AG25" s="3228"/>
      <c r="AH25" s="3228"/>
      <c r="AI25" s="3228"/>
      <c r="AJ25" s="3229"/>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1569</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6" t="s">
        <v>625</v>
      </c>
      <c r="C29" s="3226"/>
      <c r="D29" s="939"/>
      <c r="E29" s="3157" t="s">
        <v>1570</v>
      </c>
      <c r="F29" s="3158"/>
      <c r="G29" s="3158"/>
      <c r="H29" s="3158"/>
      <c r="I29" s="3158"/>
      <c r="J29" s="3158"/>
      <c r="K29" s="3158"/>
      <c r="L29" s="3158"/>
      <c r="M29" s="3158"/>
      <c r="N29" s="3158"/>
      <c r="O29" s="3158"/>
      <c r="P29" s="3158"/>
      <c r="Q29" s="3158"/>
      <c r="R29" s="3158"/>
      <c r="S29" s="3158"/>
      <c r="T29" s="3158"/>
      <c r="U29" s="3158"/>
      <c r="V29" s="3158"/>
      <c r="W29" s="3158"/>
      <c r="X29" s="3158"/>
      <c r="Y29" s="3158"/>
      <c r="Z29" s="3158"/>
      <c r="AA29" s="3158"/>
      <c r="AB29" s="3158"/>
      <c r="AC29" s="3158"/>
      <c r="AD29" s="3158"/>
      <c r="AE29" s="3158"/>
      <c r="AF29" s="3158"/>
      <c r="AG29" s="3158"/>
      <c r="AH29" s="3158"/>
      <c r="AI29" s="3158"/>
      <c r="AJ29" s="3159"/>
      <c r="AK29" s="932"/>
      <c r="AL29" s="932"/>
      <c r="AM29" s="932"/>
      <c r="AN29" s="928"/>
      <c r="AO29" s="942">
        <f>IF($B49="yes",6,0)</f>
        <v>0</v>
      </c>
    </row>
    <row r="30" spans="1:42" s="929" customFormat="1" ht="12.75" customHeight="1">
      <c r="A30" s="932"/>
      <c r="B30" s="932"/>
      <c r="C30" s="932"/>
      <c r="E30" s="3160"/>
      <c r="F30" s="3161"/>
      <c r="G30" s="3161"/>
      <c r="H30" s="3161"/>
      <c r="I30" s="3161"/>
      <c r="J30" s="3161"/>
      <c r="K30" s="3161"/>
      <c r="L30" s="3161"/>
      <c r="M30" s="3161"/>
      <c r="N30" s="3161"/>
      <c r="O30" s="3161"/>
      <c r="P30" s="3161"/>
      <c r="Q30" s="3161"/>
      <c r="R30" s="3161"/>
      <c r="S30" s="3161"/>
      <c r="T30" s="3161"/>
      <c r="U30" s="3161"/>
      <c r="V30" s="3161"/>
      <c r="W30" s="3161"/>
      <c r="X30" s="3161"/>
      <c r="Y30" s="3161"/>
      <c r="Z30" s="3161"/>
      <c r="AA30" s="3161"/>
      <c r="AB30" s="3161"/>
      <c r="AC30" s="3161"/>
      <c r="AD30" s="3161"/>
      <c r="AE30" s="3161"/>
      <c r="AF30" s="3161"/>
      <c r="AG30" s="3161"/>
      <c r="AH30" s="3161"/>
      <c r="AI30" s="3161"/>
      <c r="AJ30" s="3162"/>
      <c r="AK30" s="932"/>
      <c r="AL30" s="932"/>
      <c r="AM30" s="932"/>
      <c r="AN30" s="928"/>
      <c r="AO30" s="929">
        <f>IF(SUM(AO23:AO29)&gt;6,6,(SUM(AO23:AO29)))</f>
        <v>0</v>
      </c>
      <c r="AP30" s="929" t="s">
        <v>1565</v>
      </c>
    </row>
    <row r="31" spans="1:42" s="929" customFormat="1" ht="12.75" customHeight="1">
      <c r="A31" s="932"/>
      <c r="B31" s="932"/>
      <c r="C31" s="932"/>
      <c r="E31" s="3227"/>
      <c r="F31" s="3228"/>
      <c r="G31" s="3228"/>
      <c r="H31" s="3228"/>
      <c r="I31" s="3228"/>
      <c r="J31" s="3228"/>
      <c r="K31" s="3228"/>
      <c r="L31" s="3228"/>
      <c r="M31" s="3228"/>
      <c r="N31" s="3228"/>
      <c r="O31" s="3228"/>
      <c r="P31" s="3228"/>
      <c r="Q31" s="3228"/>
      <c r="R31" s="3228"/>
      <c r="S31" s="3228"/>
      <c r="T31" s="3228"/>
      <c r="U31" s="3228"/>
      <c r="V31" s="3228"/>
      <c r="W31" s="3228"/>
      <c r="X31" s="3228"/>
      <c r="Y31" s="3228"/>
      <c r="Z31" s="3228"/>
      <c r="AA31" s="3228"/>
      <c r="AB31" s="3228"/>
      <c r="AC31" s="3228"/>
      <c r="AD31" s="3228"/>
      <c r="AE31" s="3228"/>
      <c r="AF31" s="3228"/>
      <c r="AG31" s="3228"/>
      <c r="AH31" s="3228"/>
      <c r="AI31" s="3228"/>
      <c r="AJ31" s="3229"/>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1571</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1" t="s">
        <v>2397</v>
      </c>
      <c r="C34" s="3251"/>
      <c r="D34" s="3251"/>
      <c r="E34" s="3251"/>
      <c r="F34" s="3251"/>
      <c r="G34" s="3251"/>
      <c r="H34" s="3251"/>
      <c r="I34" s="3251"/>
      <c r="J34" s="3251"/>
      <c r="K34" s="3251"/>
      <c r="L34" s="3251"/>
      <c r="M34" s="3251"/>
      <c r="N34" s="3251"/>
      <c r="O34" s="3251"/>
      <c r="P34" s="3251"/>
      <c r="Q34" s="3251"/>
      <c r="R34" s="3251"/>
      <c r="S34" s="3251"/>
      <c r="T34" s="3251"/>
      <c r="U34" s="3251"/>
      <c r="V34" s="3251"/>
      <c r="W34" s="3251"/>
      <c r="X34" s="3251"/>
      <c r="Y34" s="3251"/>
      <c r="Z34" s="3251"/>
      <c r="AA34" s="3251"/>
      <c r="AB34" s="3251"/>
      <c r="AC34" s="3251"/>
      <c r="AD34" s="3251"/>
      <c r="AE34" s="3251"/>
      <c r="AF34" s="3251"/>
      <c r="AG34" s="3251"/>
      <c r="AH34" s="3251"/>
      <c r="AI34" s="3251"/>
      <c r="AJ34" s="3251"/>
      <c r="AK34" s="3251"/>
      <c r="AL34" s="932"/>
      <c r="AM34" s="932"/>
      <c r="AN34" s="928"/>
    </row>
    <row r="35" spans="1:41" s="929" customFormat="1" ht="12.75" customHeight="1">
      <c r="A35" s="932"/>
      <c r="B35" s="3251"/>
      <c r="C35" s="3251"/>
      <c r="D35" s="3251"/>
      <c r="E35" s="3251"/>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1"/>
      <c r="AK35" s="3251"/>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6" t="s">
        <v>625</v>
      </c>
      <c r="C37" s="3226"/>
      <c r="D37" s="939"/>
      <c r="E37" s="947" t="s">
        <v>1572</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6" t="s">
        <v>625</v>
      </c>
      <c r="C39" s="3226"/>
      <c r="D39" s="939"/>
      <c r="E39" s="949" t="s">
        <v>1573</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6" t="s">
        <v>625</v>
      </c>
      <c r="C41" s="3226"/>
      <c r="D41" s="939"/>
      <c r="E41" s="950" t="s">
        <v>1574</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6" t="s">
        <v>625</v>
      </c>
      <c r="C43" s="3226"/>
      <c r="D43" s="939"/>
      <c r="E43" s="950" t="s">
        <v>1575</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6" t="s">
        <v>625</v>
      </c>
      <c r="C45" s="3226"/>
      <c r="D45" s="939"/>
      <c r="E45" s="950" t="s">
        <v>1576</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6" t="s">
        <v>625</v>
      </c>
      <c r="C47" s="3226"/>
      <c r="D47" s="939"/>
      <c r="E47" s="952" t="s">
        <v>1577</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6" t="s">
        <v>625</v>
      </c>
      <c r="C49" s="3226"/>
      <c r="D49" s="939"/>
      <c r="E49" s="952" t="s">
        <v>1578</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1579</v>
      </c>
      <c r="AK51" s="3201">
        <f>AO32</f>
        <v>0</v>
      </c>
      <c r="AL51" s="3202"/>
      <c r="AM51" s="3203"/>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1580</v>
      </c>
      <c r="B54" s="931" t="s">
        <v>1581</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17" t="s">
        <v>1582</v>
      </c>
      <c r="AF54" s="3217"/>
      <c r="AG54" s="3217"/>
      <c r="AH54" s="3217"/>
      <c r="AI54" s="3217"/>
      <c r="AJ54" s="3217"/>
      <c r="AK54" s="3217"/>
      <c r="AL54" s="932"/>
      <c r="AM54" s="932"/>
      <c r="AN54" s="928"/>
    </row>
    <row r="55" spans="1:50" s="929" customFormat="1" ht="12.75" customHeight="1">
      <c r="A55" s="930"/>
      <c r="B55" s="931" t="s">
        <v>2224</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6" t="s">
        <v>577</v>
      </c>
      <c r="C57" s="3226"/>
      <c r="D57" s="939" t="s">
        <v>1583</v>
      </c>
      <c r="E57" s="3245" t="s">
        <v>2236</v>
      </c>
      <c r="F57" s="3246"/>
      <c r="G57" s="3246"/>
      <c r="H57" s="3246"/>
      <c r="I57" s="3246"/>
      <c r="J57" s="3246"/>
      <c r="K57" s="3246"/>
      <c r="L57" s="3246"/>
      <c r="M57" s="3246"/>
      <c r="N57" s="3246"/>
      <c r="O57" s="3246"/>
      <c r="P57" s="3246"/>
      <c r="Q57" s="3246"/>
      <c r="R57" s="3246"/>
      <c r="S57" s="3246"/>
      <c r="T57" s="3246"/>
      <c r="U57" s="3246"/>
      <c r="V57" s="3246"/>
      <c r="W57" s="3246"/>
      <c r="X57" s="3246"/>
      <c r="Y57" s="3246"/>
      <c r="Z57" s="3246"/>
      <c r="AA57" s="3246"/>
      <c r="AB57" s="3246"/>
      <c r="AC57" s="3246"/>
      <c r="AD57" s="3246"/>
      <c r="AE57" s="3246"/>
      <c r="AF57" s="3246"/>
      <c r="AG57" s="3246"/>
      <c r="AH57" s="3246"/>
      <c r="AI57" s="3246"/>
      <c r="AJ57" s="3247"/>
      <c r="AK57" s="935"/>
      <c r="AL57" s="932"/>
      <c r="AM57" s="932"/>
      <c r="AN57" s="928"/>
      <c r="AO57" s="942">
        <f>IF($B57="yes",10,0)</f>
        <v>10</v>
      </c>
    </row>
    <row r="58" spans="1:50" s="929" customFormat="1" ht="12.75" customHeight="1">
      <c r="A58" s="930"/>
      <c r="B58" s="932"/>
      <c r="C58" s="932"/>
      <c r="D58" s="943"/>
      <c r="E58" s="3248"/>
      <c r="F58" s="3249"/>
      <c r="G58" s="3249"/>
      <c r="H58" s="3249"/>
      <c r="I58" s="3249"/>
      <c r="J58" s="3249"/>
      <c r="K58" s="3249"/>
      <c r="L58" s="3249"/>
      <c r="M58" s="3249"/>
      <c r="N58" s="3249"/>
      <c r="O58" s="3249"/>
      <c r="P58" s="3249"/>
      <c r="Q58" s="3249"/>
      <c r="R58" s="3249"/>
      <c r="S58" s="3249"/>
      <c r="T58" s="3249"/>
      <c r="U58" s="3249"/>
      <c r="V58" s="3249"/>
      <c r="W58" s="3249"/>
      <c r="X58" s="3249"/>
      <c r="Y58" s="3249"/>
      <c r="Z58" s="3249"/>
      <c r="AA58" s="3249"/>
      <c r="AB58" s="3249"/>
      <c r="AC58" s="3249"/>
      <c r="AD58" s="3249"/>
      <c r="AE58" s="3249"/>
      <c r="AF58" s="3249"/>
      <c r="AG58" s="3249"/>
      <c r="AH58" s="3249"/>
      <c r="AI58" s="3249"/>
      <c r="AJ58" s="3250"/>
      <c r="AK58" s="935"/>
      <c r="AL58" s="932"/>
      <c r="AM58" s="932"/>
      <c r="AN58" s="928"/>
      <c r="AO58" s="942">
        <f>IF($B62="yes",10,0)</f>
        <v>0</v>
      </c>
    </row>
    <row r="59" spans="1:50" s="929" customFormat="1" ht="12.75" customHeight="1">
      <c r="A59" s="930"/>
      <c r="B59" s="932"/>
      <c r="C59" s="932"/>
      <c r="D59" s="943"/>
      <c r="E59" s="3248"/>
      <c r="F59" s="3249"/>
      <c r="G59" s="3249"/>
      <c r="H59" s="3249"/>
      <c r="I59" s="3249"/>
      <c r="J59" s="3249"/>
      <c r="K59" s="3249"/>
      <c r="L59" s="3249"/>
      <c r="M59" s="3249"/>
      <c r="N59" s="3249"/>
      <c r="O59" s="3249"/>
      <c r="P59" s="3249"/>
      <c r="Q59" s="3249"/>
      <c r="R59" s="3249"/>
      <c r="S59" s="3249"/>
      <c r="T59" s="3249"/>
      <c r="U59" s="3249"/>
      <c r="V59" s="3249"/>
      <c r="W59" s="3249"/>
      <c r="X59" s="3249"/>
      <c r="Y59" s="3249"/>
      <c r="Z59" s="3249"/>
      <c r="AA59" s="3249"/>
      <c r="AB59" s="3249"/>
      <c r="AC59" s="3249"/>
      <c r="AD59" s="3249"/>
      <c r="AE59" s="3249"/>
      <c r="AF59" s="3249"/>
      <c r="AG59" s="3249"/>
      <c r="AH59" s="3249"/>
      <c r="AI59" s="3249"/>
      <c r="AJ59" s="3250"/>
      <c r="AK59" s="935"/>
      <c r="AL59" s="932"/>
      <c r="AM59" s="932"/>
      <c r="AN59" s="928"/>
      <c r="AO59" s="942">
        <f>IF($B69="yes",10,0)</f>
        <v>0</v>
      </c>
    </row>
    <row r="60" spans="1:50" s="929" customFormat="1" ht="12.75" customHeight="1">
      <c r="A60" s="930"/>
      <c r="B60" s="932"/>
      <c r="C60" s="932"/>
      <c r="D60" s="943"/>
      <c r="E60" s="3261"/>
      <c r="F60" s="3262"/>
      <c r="G60" s="3262"/>
      <c r="H60" s="3262"/>
      <c r="I60" s="3262"/>
      <c r="J60" s="3262"/>
      <c r="K60" s="3262"/>
      <c r="L60" s="3262"/>
      <c r="M60" s="3262"/>
      <c r="N60" s="3262"/>
      <c r="O60" s="3262"/>
      <c r="P60" s="3262"/>
      <c r="Q60" s="3262"/>
      <c r="R60" s="3262"/>
      <c r="S60" s="3262"/>
      <c r="T60" s="3262"/>
      <c r="U60" s="3262"/>
      <c r="V60" s="3262"/>
      <c r="W60" s="3262"/>
      <c r="X60" s="3262"/>
      <c r="Y60" s="3262"/>
      <c r="Z60" s="3262"/>
      <c r="AA60" s="3262"/>
      <c r="AB60" s="3262"/>
      <c r="AC60" s="3262"/>
      <c r="AD60" s="3262"/>
      <c r="AE60" s="3262"/>
      <c r="AF60" s="3262"/>
      <c r="AG60" s="3262"/>
      <c r="AH60" s="3262"/>
      <c r="AI60" s="3262"/>
      <c r="AJ60" s="3263"/>
      <c r="AK60" s="935"/>
      <c r="AL60" s="932"/>
      <c r="AM60" s="932"/>
      <c r="AN60" s="928"/>
      <c r="AO60" s="929">
        <f>IF(SUM(AO57:AO59)&gt;10,10,(SUM(AO57:AO59)))</f>
        <v>10</v>
      </c>
      <c r="AP60" s="967" t="s">
        <v>1584</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6" t="s">
        <v>625</v>
      </c>
      <c r="C62" s="3226"/>
      <c r="D62" s="939" t="s">
        <v>1585</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30" t="s">
        <v>625</v>
      </c>
      <c r="F63" s="3226"/>
      <c r="G63" s="968"/>
      <c r="H63" s="1687" t="s">
        <v>1586</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4" t="s">
        <v>625</v>
      </c>
      <c r="F64" s="3225"/>
      <c r="G64" s="968"/>
      <c r="H64" s="1687" t="s">
        <v>1587</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4" t="s">
        <v>625</v>
      </c>
      <c r="F65" s="3225"/>
      <c r="G65" s="968"/>
      <c r="H65" s="1687" t="s">
        <v>2235</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30" t="s">
        <v>625</v>
      </c>
      <c r="F67" s="3226"/>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6" t="s">
        <v>625</v>
      </c>
      <c r="C69" s="3226"/>
      <c r="D69" s="939" t="s">
        <v>1588</v>
      </c>
      <c r="E69" s="3157" t="s">
        <v>2237</v>
      </c>
      <c r="F69" s="3158"/>
      <c r="G69" s="3158"/>
      <c r="H69" s="3158"/>
      <c r="I69" s="3158"/>
      <c r="J69" s="3158"/>
      <c r="K69" s="3158"/>
      <c r="L69" s="3158"/>
      <c r="M69" s="3158"/>
      <c r="N69" s="3158"/>
      <c r="O69" s="3158"/>
      <c r="P69" s="3158"/>
      <c r="Q69" s="3158"/>
      <c r="R69" s="3158"/>
      <c r="S69" s="3158"/>
      <c r="T69" s="3158"/>
      <c r="U69" s="3158"/>
      <c r="V69" s="3158"/>
      <c r="W69" s="3158"/>
      <c r="X69" s="3158"/>
      <c r="Y69" s="3158"/>
      <c r="Z69" s="3158"/>
      <c r="AA69" s="3158"/>
      <c r="AB69" s="3158"/>
      <c r="AC69" s="3158"/>
      <c r="AD69" s="3158"/>
      <c r="AE69" s="3158"/>
      <c r="AF69" s="3158"/>
      <c r="AG69" s="3158"/>
      <c r="AH69" s="3158"/>
      <c r="AI69" s="3158"/>
      <c r="AJ69" s="3159"/>
      <c r="AK69" s="935"/>
      <c r="AL69" s="932"/>
      <c r="AM69" s="932"/>
      <c r="AN69" s="928"/>
    </row>
    <row r="70" spans="1:40" s="929" customFormat="1" ht="12.75" customHeight="1">
      <c r="A70" s="930"/>
      <c r="B70" s="932"/>
      <c r="C70" s="932"/>
      <c r="D70" s="942"/>
      <c r="E70" s="3227"/>
      <c r="F70" s="3228"/>
      <c r="G70" s="3228"/>
      <c r="H70" s="3228"/>
      <c r="I70" s="3228"/>
      <c r="J70" s="3228"/>
      <c r="K70" s="3228"/>
      <c r="L70" s="3228"/>
      <c r="M70" s="3228"/>
      <c r="N70" s="3228"/>
      <c r="O70" s="3228"/>
      <c r="P70" s="3228"/>
      <c r="Q70" s="3228"/>
      <c r="R70" s="3228"/>
      <c r="S70" s="3228"/>
      <c r="T70" s="3228"/>
      <c r="U70" s="3228"/>
      <c r="V70" s="3228"/>
      <c r="W70" s="3228"/>
      <c r="X70" s="3228"/>
      <c r="Y70" s="3228"/>
      <c r="Z70" s="3228"/>
      <c r="AA70" s="3228"/>
      <c r="AB70" s="3228"/>
      <c r="AC70" s="3228"/>
      <c r="AD70" s="3228"/>
      <c r="AE70" s="3228"/>
      <c r="AF70" s="3228"/>
      <c r="AG70" s="3228"/>
      <c r="AH70" s="3228"/>
      <c r="AI70" s="3228"/>
      <c r="AJ70" s="3229"/>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1589</v>
      </c>
      <c r="AK72" s="3201">
        <f>IF(AK51&gt;0,0,AO60)</f>
        <v>10</v>
      </c>
      <c r="AL72" s="3202"/>
      <c r="AM72" s="3203"/>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1590</v>
      </c>
      <c r="B75" s="931" t="s">
        <v>1591</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17" t="s">
        <v>1561</v>
      </c>
      <c r="AF75" s="3217"/>
      <c r="AG75" s="3217"/>
      <c r="AH75" s="3217"/>
      <c r="AI75" s="3217"/>
      <c r="AJ75" s="3217"/>
      <c r="AK75" s="3217"/>
      <c r="AL75" s="932"/>
      <c r="AM75" s="932"/>
      <c r="AN75" s="928"/>
    </row>
    <row r="76" spans="1:40" s="929" customFormat="1" ht="12.75" customHeight="1">
      <c r="A76" s="930"/>
      <c r="B76" s="931" t="s">
        <v>1592</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6" t="s">
        <v>577</v>
      </c>
      <c r="C78" s="3226"/>
      <c r="D78" s="939" t="s">
        <v>1583</v>
      </c>
      <c r="E78" s="3233" t="s">
        <v>1593</v>
      </c>
      <c r="F78" s="3234"/>
      <c r="G78" s="3234"/>
      <c r="H78" s="3234"/>
      <c r="I78" s="3234"/>
      <c r="J78" s="3234"/>
      <c r="K78" s="3234"/>
      <c r="L78" s="3234"/>
      <c r="M78" s="3234"/>
      <c r="N78" s="3234"/>
      <c r="O78" s="3234"/>
      <c r="P78" s="3234"/>
      <c r="Q78" s="3234"/>
      <c r="R78" s="3234"/>
      <c r="S78" s="3234"/>
      <c r="T78" s="3234"/>
      <c r="U78" s="3234"/>
      <c r="V78" s="3234"/>
      <c r="W78" s="3234"/>
      <c r="X78" s="3234"/>
      <c r="Y78" s="3234"/>
      <c r="Z78" s="3234"/>
      <c r="AA78" s="3234"/>
      <c r="AB78" s="3234"/>
      <c r="AC78" s="3234"/>
      <c r="AD78" s="3234"/>
      <c r="AE78" s="3234"/>
      <c r="AF78" s="3234"/>
      <c r="AG78" s="3234"/>
      <c r="AH78" s="3234"/>
      <c r="AI78" s="3234"/>
      <c r="AJ78" s="3235"/>
      <c r="AK78" s="935"/>
      <c r="AL78" s="932"/>
      <c r="AM78" s="932"/>
      <c r="AN78" s="928"/>
    </row>
    <row r="79" spans="1:40" s="929" customFormat="1" ht="12.75" customHeight="1">
      <c r="A79" s="930"/>
      <c r="B79" s="931"/>
      <c r="C79" s="931"/>
      <c r="D79" s="931"/>
      <c r="E79" s="3236"/>
      <c r="F79" s="3237"/>
      <c r="G79" s="3237"/>
      <c r="H79" s="3237"/>
      <c r="I79" s="3237"/>
      <c r="J79" s="3237"/>
      <c r="K79" s="3237"/>
      <c r="L79" s="3237"/>
      <c r="M79" s="3237"/>
      <c r="N79" s="3237"/>
      <c r="O79" s="3237"/>
      <c r="P79" s="3237"/>
      <c r="Q79" s="3237"/>
      <c r="R79" s="3237"/>
      <c r="S79" s="3237"/>
      <c r="T79" s="3237"/>
      <c r="U79" s="3237"/>
      <c r="V79" s="3237"/>
      <c r="W79" s="3237"/>
      <c r="X79" s="3237"/>
      <c r="Y79" s="3237"/>
      <c r="Z79" s="3237"/>
      <c r="AA79" s="3237"/>
      <c r="AB79" s="3237"/>
      <c r="AC79" s="3237"/>
      <c r="AD79" s="3237"/>
      <c r="AE79" s="3237"/>
      <c r="AF79" s="3237"/>
      <c r="AG79" s="3237"/>
      <c r="AH79" s="3237"/>
      <c r="AI79" s="3237"/>
      <c r="AJ79" s="3238"/>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5">
        <f>Application!AH753</f>
        <v>0.3</v>
      </c>
      <c r="F81" s="3216"/>
      <c r="G81" s="3216"/>
      <c r="H81" s="3216"/>
      <c r="I81" s="970"/>
      <c r="J81" s="973" t="s">
        <v>1594</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9">
        <f>0.6-ROUNDUP(E81,2)</f>
        <v>0.3</v>
      </c>
      <c r="F82" s="3240"/>
      <c r="G82" s="3240"/>
      <c r="H82" s="3240"/>
      <c r="I82" s="970"/>
      <c r="J82" s="973" t="s">
        <v>1595</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1">
        <f>IF(E82*200&gt;20,20,E82*200)</f>
        <v>20</v>
      </c>
      <c r="F83" s="3232"/>
      <c r="G83" s="3232"/>
      <c r="H83" s="3232"/>
      <c r="I83" s="970"/>
      <c r="J83" s="973" t="s">
        <v>1596</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1565</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6" t="s">
        <v>625</v>
      </c>
      <c r="C86" s="3226"/>
      <c r="D86" s="939" t="s">
        <v>1585</v>
      </c>
      <c r="E86" s="3233" t="s">
        <v>2221</v>
      </c>
      <c r="F86" s="3234"/>
      <c r="G86" s="3234"/>
      <c r="H86" s="3234"/>
      <c r="I86" s="3234"/>
      <c r="J86" s="3234"/>
      <c r="K86" s="3234"/>
      <c r="L86" s="3234"/>
      <c r="M86" s="3234"/>
      <c r="N86" s="3234"/>
      <c r="O86" s="3234"/>
      <c r="P86" s="3234"/>
      <c r="Q86" s="3234"/>
      <c r="R86" s="3234"/>
      <c r="S86" s="3234"/>
      <c r="T86" s="3234"/>
      <c r="U86" s="3234"/>
      <c r="V86" s="3234"/>
      <c r="W86" s="3234"/>
      <c r="X86" s="3234"/>
      <c r="Y86" s="3234"/>
      <c r="Z86" s="3234"/>
      <c r="AA86" s="3234"/>
      <c r="AB86" s="3234"/>
      <c r="AC86" s="3234"/>
      <c r="AD86" s="3234"/>
      <c r="AE86" s="3234"/>
      <c r="AF86" s="3234"/>
      <c r="AG86" s="3234"/>
      <c r="AH86" s="3234"/>
      <c r="AI86" s="3234"/>
      <c r="AJ86" s="3235"/>
      <c r="AK86" s="935"/>
      <c r="AL86" s="932"/>
      <c r="AM86" s="932"/>
      <c r="AN86" s="928"/>
    </row>
    <row r="87" spans="1:47" s="929" customFormat="1" ht="12.75" customHeight="1">
      <c r="A87" s="930"/>
      <c r="B87" s="931"/>
      <c r="C87" s="931"/>
      <c r="D87" s="931"/>
      <c r="E87" s="3236"/>
      <c r="F87" s="3237"/>
      <c r="G87" s="3237"/>
      <c r="H87" s="3237"/>
      <c r="I87" s="3237"/>
      <c r="J87" s="3237"/>
      <c r="K87" s="3237"/>
      <c r="L87" s="3237"/>
      <c r="M87" s="3237"/>
      <c r="N87" s="3237"/>
      <c r="O87" s="3237"/>
      <c r="P87" s="3237"/>
      <c r="Q87" s="3237"/>
      <c r="R87" s="3237"/>
      <c r="S87" s="3237"/>
      <c r="T87" s="3237"/>
      <c r="U87" s="3237"/>
      <c r="V87" s="3237"/>
      <c r="W87" s="3237"/>
      <c r="X87" s="3237"/>
      <c r="Y87" s="3237"/>
      <c r="Z87" s="3237"/>
      <c r="AA87" s="3237"/>
      <c r="AB87" s="3237"/>
      <c r="AC87" s="3237"/>
      <c r="AD87" s="3237"/>
      <c r="AE87" s="3237"/>
      <c r="AF87" s="3237"/>
      <c r="AG87" s="3237"/>
      <c r="AH87" s="3237"/>
      <c r="AI87" s="3237"/>
      <c r="AJ87" s="3238"/>
      <c r="AK87" s="935"/>
      <c r="AL87" s="932"/>
      <c r="AM87" s="932"/>
      <c r="AN87" s="928"/>
    </row>
    <row r="88" spans="1:47" s="929" customFormat="1" ht="12.75" customHeight="1">
      <c r="A88" s="930"/>
      <c r="B88" s="931"/>
      <c r="C88" s="931"/>
      <c r="D88" s="931"/>
      <c r="E88" s="3236"/>
      <c r="F88" s="3237"/>
      <c r="G88" s="3237"/>
      <c r="H88" s="3237"/>
      <c r="I88" s="3237"/>
      <c r="J88" s="3237"/>
      <c r="K88" s="3237"/>
      <c r="L88" s="3237"/>
      <c r="M88" s="3237"/>
      <c r="N88" s="3237"/>
      <c r="O88" s="3237"/>
      <c r="P88" s="3237"/>
      <c r="Q88" s="3237"/>
      <c r="R88" s="3237"/>
      <c r="S88" s="3237"/>
      <c r="T88" s="3237"/>
      <c r="U88" s="3237"/>
      <c r="V88" s="3237"/>
      <c r="W88" s="3237"/>
      <c r="X88" s="3237"/>
      <c r="Y88" s="3237"/>
      <c r="Z88" s="3237"/>
      <c r="AA88" s="3237"/>
      <c r="AB88" s="3237"/>
      <c r="AC88" s="3237"/>
      <c r="AD88" s="3237"/>
      <c r="AE88" s="3237"/>
      <c r="AF88" s="3237"/>
      <c r="AG88" s="3237"/>
      <c r="AH88" s="3237"/>
      <c r="AI88" s="3237"/>
      <c r="AJ88" s="3238"/>
      <c r="AK88" s="935"/>
      <c r="AL88" s="932"/>
      <c r="AM88" s="932"/>
      <c r="AN88" s="928"/>
    </row>
    <row r="89" spans="1:47" s="929" customFormat="1" ht="12.75" customHeight="1">
      <c r="A89" s="930"/>
      <c r="B89" s="931"/>
      <c r="C89" s="931"/>
      <c r="D89" s="931"/>
      <c r="E89" s="3236"/>
      <c r="F89" s="3237"/>
      <c r="G89" s="3237"/>
      <c r="H89" s="3237"/>
      <c r="I89" s="3237"/>
      <c r="J89" s="3237"/>
      <c r="K89" s="3237"/>
      <c r="L89" s="3237"/>
      <c r="M89" s="3237"/>
      <c r="N89" s="3237"/>
      <c r="O89" s="3237"/>
      <c r="P89" s="3237"/>
      <c r="Q89" s="3237"/>
      <c r="R89" s="3237"/>
      <c r="S89" s="3237"/>
      <c r="T89" s="3237"/>
      <c r="U89" s="3237"/>
      <c r="V89" s="3237"/>
      <c r="W89" s="3237"/>
      <c r="X89" s="3237"/>
      <c r="Y89" s="3237"/>
      <c r="Z89" s="3237"/>
      <c r="AA89" s="3237"/>
      <c r="AB89" s="3237"/>
      <c r="AC89" s="3237"/>
      <c r="AD89" s="3237"/>
      <c r="AE89" s="3237"/>
      <c r="AF89" s="3237"/>
      <c r="AG89" s="3237"/>
      <c r="AH89" s="3237"/>
      <c r="AI89" s="3237"/>
      <c r="AJ89" s="3238"/>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5">
        <f>Application!AH753</f>
        <v>0.3</v>
      </c>
      <c r="F91" s="3216"/>
      <c r="G91" s="3216"/>
      <c r="H91" s="3216"/>
      <c r="I91" s="970"/>
      <c r="J91" s="1479" t="s">
        <v>1594</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5">
        <f ca="1">SUMIF(Application!AH728:AL752,0.2,Application!G728:J752)/Application!G753+SUMIF(Application!AH728:AL752,0.25,Application!G728:J752)/Application!G753+SUMIF(Application!AH728:AL752,0.3,Application!G728:J752)/Application!G753</f>
        <v>1</v>
      </c>
      <c r="F92" s="3216"/>
      <c r="G92" s="3216"/>
      <c r="H92" s="3216"/>
      <c r="I92" s="970"/>
      <c r="J92" s="973" t="s">
        <v>1597</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5">
        <f ca="1">SUMIF(Application!AH728:AL752,0.35,Application!G728:J752)/Application!G753+SUMIF(Application!AH728:AL752,0.4,Application!G728:J752)/Application!G753+SUMIF(Application!AH728:AL752,0.45,Application!G728:J752)/Application!G753+SUMIF(Application!AH728:AL752,0.5,Application!G728:J752)/Application!G753</f>
        <v>0</v>
      </c>
      <c r="F93" s="3216"/>
      <c r="G93" s="3216"/>
      <c r="H93" s="3216"/>
      <c r="I93" s="970"/>
      <c r="J93" s="973" t="s">
        <v>1598</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18">
        <f ca="1">IF(AND(E91&lt;=0.6,E92&gt;=0.1,OR(E93&gt;=0.1,E92=1)),20,0)</f>
        <v>20</v>
      </c>
      <c r="F94" s="3219"/>
      <c r="G94" s="3219"/>
      <c r="H94" s="3219"/>
      <c r="I94" s="945"/>
      <c r="J94" s="980" t="s">
        <v>1596</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1565</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1599</v>
      </c>
      <c r="AK97" s="3201">
        <f>MAX(AP83,AP94)</f>
        <v>20</v>
      </c>
      <c r="AL97" s="3202"/>
      <c r="AM97" s="3203"/>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1600</v>
      </c>
      <c r="B100" s="931" t="s">
        <v>1601</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17" t="s">
        <v>1582</v>
      </c>
      <c r="AF100" s="3217"/>
      <c r="AG100" s="3217"/>
      <c r="AH100" s="3217"/>
      <c r="AI100" s="3217"/>
      <c r="AJ100" s="3217"/>
      <c r="AK100" s="3217"/>
      <c r="AL100" s="932"/>
      <c r="AM100" s="932"/>
      <c r="AN100" s="928"/>
      <c r="AO100" s="929" t="str">
        <f>Application!B728</f>
        <v>SRO/Studio</v>
      </c>
      <c r="AQ100" s="929">
        <f>Application!O728</f>
        <v>591</v>
      </c>
    </row>
    <row r="101" spans="1:49" s="929" customFormat="1" ht="12.75" customHeight="1">
      <c r="A101" s="932"/>
      <c r="B101" s="931" t="s">
        <v>1592</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f>Application!B729</f>
        <v>0</v>
      </c>
      <c r="AQ101" s="929">
        <f>Application!O729</f>
        <v>0</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3226" t="s">
        <v>577</v>
      </c>
      <c r="C103" s="3226"/>
      <c r="D103" s="939" t="s">
        <v>1583</v>
      </c>
      <c r="E103" s="3233" t="s">
        <v>2383</v>
      </c>
      <c r="F103" s="3234"/>
      <c r="G103" s="3234"/>
      <c r="H103" s="3234"/>
      <c r="I103" s="3234"/>
      <c r="J103" s="3234"/>
      <c r="K103" s="3234"/>
      <c r="L103" s="3234"/>
      <c r="M103" s="3234"/>
      <c r="N103" s="3234"/>
      <c r="O103" s="3234"/>
      <c r="P103" s="3234"/>
      <c r="Q103" s="3234"/>
      <c r="R103" s="3234"/>
      <c r="S103" s="3234"/>
      <c r="T103" s="3234"/>
      <c r="U103" s="3234"/>
      <c r="V103" s="3234"/>
      <c r="W103" s="3234"/>
      <c r="X103" s="3234"/>
      <c r="Y103" s="3234"/>
      <c r="Z103" s="3234"/>
      <c r="AA103" s="3234"/>
      <c r="AB103" s="3234"/>
      <c r="AC103" s="3234"/>
      <c r="AD103" s="3234"/>
      <c r="AE103" s="3234"/>
      <c r="AF103" s="3234"/>
      <c r="AG103" s="3234"/>
      <c r="AH103" s="3234"/>
      <c r="AI103" s="3234"/>
      <c r="AJ103" s="3235"/>
      <c r="AK103" s="932"/>
      <c r="AL103" s="932"/>
      <c r="AM103" s="932"/>
      <c r="AN103" s="928"/>
      <c r="AO103" s="929">
        <f>Application!B731</f>
        <v>0</v>
      </c>
      <c r="AQ103" s="929">
        <f>Application!O731</f>
        <v>0</v>
      </c>
      <c r="AU103" s="929" t="s">
        <v>2361</v>
      </c>
      <c r="AV103" s="1764" t="s">
        <v>2362</v>
      </c>
      <c r="AW103" s="929" t="s">
        <v>2363</v>
      </c>
    </row>
    <row r="104" spans="1:49" s="929" customFormat="1" ht="12.75" customHeight="1">
      <c r="A104" s="932"/>
      <c r="B104" s="931"/>
      <c r="C104" s="931"/>
      <c r="D104" s="931"/>
      <c r="E104" s="3236"/>
      <c r="F104" s="3237"/>
      <c r="G104" s="3237"/>
      <c r="H104" s="3237"/>
      <c r="I104" s="3237"/>
      <c r="J104" s="3237"/>
      <c r="K104" s="3237"/>
      <c r="L104" s="3237"/>
      <c r="M104" s="3237"/>
      <c r="N104" s="3237"/>
      <c r="O104" s="3237"/>
      <c r="P104" s="3237"/>
      <c r="Q104" s="3237"/>
      <c r="R104" s="3237"/>
      <c r="S104" s="3237"/>
      <c r="T104" s="3237"/>
      <c r="U104" s="3237"/>
      <c r="V104" s="3237"/>
      <c r="W104" s="3237"/>
      <c r="X104" s="3237"/>
      <c r="Y104" s="3237"/>
      <c r="Z104" s="3237"/>
      <c r="AA104" s="3237"/>
      <c r="AB104" s="3237"/>
      <c r="AC104" s="3237"/>
      <c r="AD104" s="3237"/>
      <c r="AE104" s="3237"/>
      <c r="AF104" s="3237"/>
      <c r="AG104" s="3237"/>
      <c r="AH104" s="3237"/>
      <c r="AI104" s="3237"/>
      <c r="AJ104" s="3238"/>
      <c r="AK104" s="932"/>
      <c r="AL104" s="932"/>
      <c r="AM104" s="932"/>
      <c r="AN104" s="928"/>
      <c r="AO104" s="929">
        <f>Application!B732</f>
        <v>0</v>
      </c>
      <c r="AQ104" s="929">
        <f>Application!O732</f>
        <v>0</v>
      </c>
      <c r="AU104" s="1767" t="str">
        <f>E112</f>
        <v>Studio/SRO</v>
      </c>
      <c r="AV104" s="929">
        <f t="array" ref="AV104">SUM(IF(Application!B728:F752="SRO/Studio",Application!G728:J752))</f>
        <v>88</v>
      </c>
      <c r="AW104" s="1802">
        <f>AV104/AV110</f>
        <v>1</v>
      </c>
    </row>
    <row r="105" spans="1:49" s="929" customFormat="1" ht="12.75" customHeight="1">
      <c r="A105" s="932"/>
      <c r="B105" s="931"/>
      <c r="C105" s="931"/>
      <c r="D105" s="931"/>
      <c r="E105" s="3236"/>
      <c r="F105" s="3237"/>
      <c r="G105" s="3237"/>
      <c r="H105" s="3237"/>
      <c r="I105" s="3237"/>
      <c r="J105" s="3237"/>
      <c r="K105" s="3237"/>
      <c r="L105" s="3237"/>
      <c r="M105" s="3237"/>
      <c r="N105" s="3237"/>
      <c r="O105" s="3237"/>
      <c r="P105" s="3237"/>
      <c r="Q105" s="3237"/>
      <c r="R105" s="3237"/>
      <c r="S105" s="3237"/>
      <c r="T105" s="3237"/>
      <c r="U105" s="3237"/>
      <c r="V105" s="3237"/>
      <c r="W105" s="3237"/>
      <c r="X105" s="3237"/>
      <c r="Y105" s="3237"/>
      <c r="Z105" s="3237"/>
      <c r="AA105" s="3237"/>
      <c r="AB105" s="3237"/>
      <c r="AC105" s="3237"/>
      <c r="AD105" s="3237"/>
      <c r="AE105" s="3237"/>
      <c r="AF105" s="3237"/>
      <c r="AG105" s="3237"/>
      <c r="AH105" s="3237"/>
      <c r="AI105" s="3237"/>
      <c r="AJ105" s="3238"/>
      <c r="AK105" s="932"/>
      <c r="AL105" s="932"/>
      <c r="AM105" s="932"/>
      <c r="AN105" s="928"/>
      <c r="AO105" s="929">
        <f>Application!B733</f>
        <v>0</v>
      </c>
      <c r="AQ105" s="929">
        <f>Application!O733</f>
        <v>0</v>
      </c>
      <c r="AU105" s="1767" t="str">
        <f>J112</f>
        <v>1-bedroom</v>
      </c>
      <c r="AV105" s="929">
        <f t="array" ref="AV105">SUM(IF(Application!B728:F752="1 Bedroom",Application!G728:J752))</f>
        <v>0</v>
      </c>
      <c r="AW105" s="1802">
        <f>AV105/AV110</f>
        <v>0</v>
      </c>
    </row>
    <row r="106" spans="1:49" s="929" customFormat="1" ht="12.75" customHeight="1">
      <c r="A106" s="932"/>
      <c r="B106" s="931"/>
      <c r="C106" s="931"/>
      <c r="D106" s="931"/>
      <c r="E106" s="3236"/>
      <c r="F106" s="3237"/>
      <c r="G106" s="3237"/>
      <c r="H106" s="3237"/>
      <c r="I106" s="3237"/>
      <c r="J106" s="3237"/>
      <c r="K106" s="3237"/>
      <c r="L106" s="3237"/>
      <c r="M106" s="3237"/>
      <c r="N106" s="3237"/>
      <c r="O106" s="3237"/>
      <c r="P106" s="3237"/>
      <c r="Q106" s="3237"/>
      <c r="R106" s="3237"/>
      <c r="S106" s="3237"/>
      <c r="T106" s="3237"/>
      <c r="U106" s="3237"/>
      <c r="V106" s="3237"/>
      <c r="W106" s="3237"/>
      <c r="X106" s="3237"/>
      <c r="Y106" s="3237"/>
      <c r="Z106" s="3237"/>
      <c r="AA106" s="3237"/>
      <c r="AB106" s="3237"/>
      <c r="AC106" s="3237"/>
      <c r="AD106" s="3237"/>
      <c r="AE106" s="3237"/>
      <c r="AF106" s="3237"/>
      <c r="AG106" s="3237"/>
      <c r="AH106" s="3237"/>
      <c r="AI106" s="3237"/>
      <c r="AJ106" s="3238"/>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236"/>
      <c r="F107" s="3237"/>
      <c r="G107" s="3237"/>
      <c r="H107" s="3237"/>
      <c r="I107" s="3237"/>
      <c r="J107" s="3237"/>
      <c r="K107" s="3237"/>
      <c r="L107" s="3237"/>
      <c r="M107" s="3237"/>
      <c r="N107" s="3237"/>
      <c r="O107" s="3237"/>
      <c r="P107" s="3237"/>
      <c r="Q107" s="3237"/>
      <c r="R107" s="3237"/>
      <c r="S107" s="3237"/>
      <c r="T107" s="3237"/>
      <c r="U107" s="3237"/>
      <c r="V107" s="3237"/>
      <c r="W107" s="3237"/>
      <c r="X107" s="3237"/>
      <c r="Y107" s="3237"/>
      <c r="Z107" s="3237"/>
      <c r="AA107" s="3237"/>
      <c r="AB107" s="3237"/>
      <c r="AC107" s="3237"/>
      <c r="AD107" s="3237"/>
      <c r="AE107" s="3237"/>
      <c r="AF107" s="3237"/>
      <c r="AG107" s="3237"/>
      <c r="AH107" s="3237"/>
      <c r="AI107" s="3237"/>
      <c r="AJ107" s="3238"/>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236"/>
      <c r="F108" s="3237"/>
      <c r="G108" s="3237"/>
      <c r="H108" s="3237"/>
      <c r="I108" s="3237"/>
      <c r="J108" s="3237"/>
      <c r="K108" s="3237"/>
      <c r="L108" s="3237"/>
      <c r="M108" s="3237"/>
      <c r="N108" s="3237"/>
      <c r="O108" s="3237"/>
      <c r="P108" s="3237"/>
      <c r="Q108" s="3237"/>
      <c r="R108" s="3237"/>
      <c r="S108" s="3237"/>
      <c r="T108" s="3237"/>
      <c r="U108" s="3237"/>
      <c r="V108" s="3237"/>
      <c r="W108" s="3237"/>
      <c r="X108" s="3237"/>
      <c r="Y108" s="3237"/>
      <c r="Z108" s="3237"/>
      <c r="AA108" s="3237"/>
      <c r="AB108" s="3237"/>
      <c r="AC108" s="3237"/>
      <c r="AD108" s="3237"/>
      <c r="AE108" s="3237"/>
      <c r="AF108" s="3237"/>
      <c r="AG108" s="3237"/>
      <c r="AH108" s="3237"/>
      <c r="AI108" s="3237"/>
      <c r="AJ108" s="3238"/>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36"/>
      <c r="F109" s="3237"/>
      <c r="G109" s="3237"/>
      <c r="H109" s="3237"/>
      <c r="I109" s="3237"/>
      <c r="J109" s="3237"/>
      <c r="K109" s="3237"/>
      <c r="L109" s="3237"/>
      <c r="M109" s="3237"/>
      <c r="N109" s="3237"/>
      <c r="O109" s="3237"/>
      <c r="P109" s="3237"/>
      <c r="Q109" s="3237"/>
      <c r="R109" s="3237"/>
      <c r="S109" s="3237"/>
      <c r="T109" s="3237"/>
      <c r="U109" s="3237"/>
      <c r="V109" s="3237"/>
      <c r="W109" s="3237"/>
      <c r="X109" s="3237"/>
      <c r="Y109" s="3237"/>
      <c r="Z109" s="3237"/>
      <c r="AA109" s="3237"/>
      <c r="AB109" s="3237"/>
      <c r="AC109" s="3237"/>
      <c r="AD109" s="3237"/>
      <c r="AE109" s="3237"/>
      <c r="AF109" s="3237"/>
      <c r="AG109" s="3237"/>
      <c r="AH109" s="3237"/>
      <c r="AI109" s="3237"/>
      <c r="AJ109" s="3238"/>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36"/>
      <c r="F110" s="3237"/>
      <c r="G110" s="3237"/>
      <c r="H110" s="3237"/>
      <c r="I110" s="3237"/>
      <c r="J110" s="3237"/>
      <c r="K110" s="3237"/>
      <c r="L110" s="3237"/>
      <c r="M110" s="3237"/>
      <c r="N110" s="3237"/>
      <c r="O110" s="3237"/>
      <c r="P110" s="3237"/>
      <c r="Q110" s="3237"/>
      <c r="R110" s="3237"/>
      <c r="S110" s="3237"/>
      <c r="T110" s="3237"/>
      <c r="U110" s="3237"/>
      <c r="V110" s="3237"/>
      <c r="W110" s="3237"/>
      <c r="X110" s="3237"/>
      <c r="Y110" s="3237"/>
      <c r="Z110" s="3237"/>
      <c r="AA110" s="3237"/>
      <c r="AB110" s="3237"/>
      <c r="AC110" s="3237"/>
      <c r="AD110" s="3237"/>
      <c r="AE110" s="3237"/>
      <c r="AF110" s="3237"/>
      <c r="AG110" s="3237"/>
      <c r="AH110" s="3237"/>
      <c r="AI110" s="3237"/>
      <c r="AJ110" s="3238"/>
      <c r="AK110" s="932"/>
      <c r="AL110" s="932"/>
      <c r="AM110" s="932"/>
      <c r="AN110" s="928"/>
      <c r="AO110" s="929">
        <f>Application!B738</f>
        <v>0</v>
      </c>
      <c r="AQ110" s="929">
        <f>Application!O738</f>
        <v>0</v>
      </c>
      <c r="AV110" s="929">
        <f>SUM(AV104:AV109)</f>
        <v>88</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5" t="s">
        <v>1884</v>
      </c>
      <c r="F112" s="3216"/>
      <c r="G112" s="3216"/>
      <c r="H112" s="3216"/>
      <c r="I112" s="1472"/>
      <c r="J112" s="3216" t="s">
        <v>1977</v>
      </c>
      <c r="K112" s="3216"/>
      <c r="L112" s="3216"/>
      <c r="M112" s="3216"/>
      <c r="N112" s="1472"/>
      <c r="O112" s="3216" t="s">
        <v>1978</v>
      </c>
      <c r="P112" s="3216"/>
      <c r="Q112" s="3216"/>
      <c r="R112" s="3216"/>
      <c r="S112" s="1472"/>
      <c r="T112" s="3216" t="s">
        <v>1602</v>
      </c>
      <c r="U112" s="3216"/>
      <c r="V112" s="3216"/>
      <c r="W112" s="3216"/>
      <c r="X112" s="1472"/>
      <c r="Y112" s="3216" t="s">
        <v>1979</v>
      </c>
      <c r="Z112" s="3216"/>
      <c r="AA112" s="3216"/>
      <c r="AB112" s="3216"/>
      <c r="AC112" s="1472"/>
      <c r="AD112" s="3216" t="s">
        <v>1980</v>
      </c>
      <c r="AE112" s="3216"/>
      <c r="AF112" s="3216"/>
      <c r="AG112" s="3216"/>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20">
        <v>1422</v>
      </c>
      <c r="F115" s="3221"/>
      <c r="G115" s="3221"/>
      <c r="H115" s="3221"/>
      <c r="I115" s="1474"/>
      <c r="J115" s="3221"/>
      <c r="K115" s="3221"/>
      <c r="L115" s="3221"/>
      <c r="M115" s="3221"/>
      <c r="N115" s="1474"/>
      <c r="O115" s="3221"/>
      <c r="P115" s="3221"/>
      <c r="Q115" s="3221"/>
      <c r="R115" s="3221"/>
      <c r="S115" s="1474"/>
      <c r="T115" s="3221"/>
      <c r="U115" s="3221"/>
      <c r="V115" s="3221"/>
      <c r="W115" s="3221"/>
      <c r="X115" s="1474"/>
      <c r="Y115" s="3221"/>
      <c r="Z115" s="3221"/>
      <c r="AA115" s="3221"/>
      <c r="AB115" s="3221"/>
      <c r="AC115" s="1474"/>
      <c r="AD115" s="3221"/>
      <c r="AE115" s="3221"/>
      <c r="AF115" s="3221"/>
      <c r="AG115" s="3221"/>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2">
        <f>Application!DX663</f>
        <v>591</v>
      </c>
      <c r="F118" s="3223"/>
      <c r="G118" s="3223"/>
      <c r="H118" s="3223"/>
      <c r="I118" s="1474"/>
      <c r="J118" s="3223">
        <f>Application!EC663</f>
        <v>0</v>
      </c>
      <c r="K118" s="3223"/>
      <c r="L118" s="3223"/>
      <c r="M118" s="3223"/>
      <c r="N118" s="1474"/>
      <c r="O118" s="3223">
        <f>Application!EH663</f>
        <v>0</v>
      </c>
      <c r="P118" s="3223"/>
      <c r="Q118" s="3223"/>
      <c r="R118" s="3223"/>
      <c r="S118" s="1478"/>
      <c r="T118" s="3223">
        <f>Application!EM663</f>
        <v>0</v>
      </c>
      <c r="U118" s="3223"/>
      <c r="V118" s="3223"/>
      <c r="W118" s="3223"/>
      <c r="X118" s="1478"/>
      <c r="Y118" s="3223">
        <f>Application!ER663</f>
        <v>0</v>
      </c>
      <c r="Z118" s="3223"/>
      <c r="AA118" s="3223"/>
      <c r="AB118" s="3223"/>
      <c r="AC118" s="1478"/>
      <c r="AD118" s="3223">
        <f>Application!EW663</f>
        <v>0</v>
      </c>
      <c r="AE118" s="3223"/>
      <c r="AF118" s="3223"/>
      <c r="AG118" s="3223"/>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2366</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08">
        <f>(E115-E118)/E115</f>
        <v>0.58438818565400841</v>
      </c>
      <c r="F121" s="3009"/>
      <c r="G121" s="3009"/>
      <c r="H121" s="3010"/>
      <c r="I121" s="970"/>
      <c r="J121" s="3008" t="e">
        <f>(J115-J118)/J115</f>
        <v>#DIV/0!</v>
      </c>
      <c r="K121" s="3009"/>
      <c r="L121" s="3009"/>
      <c r="M121" s="3010"/>
      <c r="N121" s="970"/>
      <c r="O121" s="3008" t="e">
        <f>(O115-O118)/O115</f>
        <v>#DIV/0!</v>
      </c>
      <c r="P121" s="3009"/>
      <c r="Q121" s="3009"/>
      <c r="R121" s="3010"/>
      <c r="S121" s="970"/>
      <c r="T121" s="3008" t="e">
        <f>(T115-T118)/T115</f>
        <v>#DIV/0!</v>
      </c>
      <c r="U121" s="3009"/>
      <c r="V121" s="3009"/>
      <c r="W121" s="3010"/>
      <c r="X121" s="970"/>
      <c r="Y121" s="3008" t="e">
        <f>(Y115-Y118)/Y115</f>
        <v>#DIV/0!</v>
      </c>
      <c r="Z121" s="3009"/>
      <c r="AA121" s="3009"/>
      <c r="AB121" s="3010"/>
      <c r="AC121" s="970"/>
      <c r="AD121" s="3008" t="e">
        <f>(AD115-AD118)/AD115</f>
        <v>#DIV/0!</v>
      </c>
      <c r="AE121" s="3009"/>
      <c r="AF121" s="3009"/>
      <c r="AG121" s="3010"/>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2367</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4">
        <f>IF(((E121-0.1)*AW104)&gt;0,((E121-0.1)*AW104),0)</f>
        <v>0.48438818565400843</v>
      </c>
      <c r="F124" s="3265"/>
      <c r="G124" s="3265"/>
      <c r="H124" s="3266"/>
      <c r="I124" s="970"/>
      <c r="J124" s="3264" t="e">
        <f>IF(((J121-0.1)*AW105)&gt;0,((J121-0.1)*AW105),0)</f>
        <v>#DIV/0!</v>
      </c>
      <c r="K124" s="3265"/>
      <c r="L124" s="3265"/>
      <c r="M124" s="3266"/>
      <c r="N124" s="970"/>
      <c r="O124" s="3264" t="e">
        <f>IF(((O121-0.1)*AW106)&gt;0,((O121-0.1)*AW106),0)</f>
        <v>#DIV/0!</v>
      </c>
      <c r="P124" s="3265"/>
      <c r="Q124" s="3265"/>
      <c r="R124" s="3266"/>
      <c r="S124" s="970"/>
      <c r="T124" s="3264" t="e">
        <f>IF(((T121-0.1)*AW107)&gt;0,((T121-0.1)*AW107),0)</f>
        <v>#DIV/0!</v>
      </c>
      <c r="U124" s="3265"/>
      <c r="V124" s="3265"/>
      <c r="W124" s="3266"/>
      <c r="X124" s="970"/>
      <c r="Y124" s="3264" t="e">
        <f>IF(((Y121-0.1)*AW108)&gt;0,((Y121-0.1)*AW108),0)</f>
        <v>#DIV/0!</v>
      </c>
      <c r="Z124" s="3265"/>
      <c r="AA124" s="3265"/>
      <c r="AB124" s="3266"/>
      <c r="AC124" s="970"/>
      <c r="AD124" s="3264" t="e">
        <f>IF(((AD121-0.1)*AW109)&gt;0,((AD121-0.1)*AW109),0)</f>
        <v>#DIV/0!</v>
      </c>
      <c r="AE124" s="3265"/>
      <c r="AF124" s="3265"/>
      <c r="AG124" s="3266"/>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08">
        <f>ROUNDDOWN(SUMIF(E124:AG124,"&gt;0"),2)</f>
        <v>0.48</v>
      </c>
      <c r="F126" s="3009"/>
      <c r="G126" s="3009"/>
      <c r="H126" s="3010"/>
      <c r="I126" s="1472"/>
      <c r="J126" s="1479" t="s">
        <v>2368</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1">
        <f>IF((E126*100)&gt;10,10,E126*100)</f>
        <v>10</v>
      </c>
      <c r="F127" s="3202"/>
      <c r="G127" s="3202"/>
      <c r="H127" s="3203"/>
      <c r="I127" s="970"/>
      <c r="J127" s="973" t="s">
        <v>1596</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1603</v>
      </c>
      <c r="AK131" s="3201">
        <f>E127</f>
        <v>10</v>
      </c>
      <c r="AL131" s="3202"/>
      <c r="AM131" s="3203"/>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1604</v>
      </c>
      <c r="AE134" s="3217" t="s">
        <v>1582</v>
      </c>
      <c r="AF134" s="3217"/>
      <c r="AG134" s="3217"/>
      <c r="AH134" s="3217"/>
      <c r="AI134" s="3217"/>
      <c r="AJ134" s="3217"/>
      <c r="AK134" s="3217"/>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1605</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47" t="s">
        <v>1606</v>
      </c>
      <c r="AG136" s="3147"/>
      <c r="AH136" s="3147"/>
      <c r="AI136" s="3147"/>
      <c r="AJ136" s="3147"/>
      <c r="AK136" s="3147"/>
      <c r="AL136" s="3147"/>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6" t="s">
        <v>2538</v>
      </c>
      <c r="C138" s="3206"/>
      <c r="D138" s="3206"/>
      <c r="E138" s="3206"/>
      <c r="F138" s="3206"/>
      <c r="G138" s="3206"/>
      <c r="H138" s="3206"/>
      <c r="I138" s="3206"/>
      <c r="J138" s="3206"/>
      <c r="K138" s="3206"/>
      <c r="L138" s="3206"/>
      <c r="M138" s="3206"/>
      <c r="N138" s="3206"/>
      <c r="O138" s="3206"/>
      <c r="P138" s="3206"/>
      <c r="Q138" s="3206"/>
      <c r="R138" s="3206"/>
      <c r="S138" s="3206"/>
      <c r="T138" s="3206"/>
      <c r="U138" s="3206"/>
      <c r="V138" s="3206"/>
      <c r="W138" s="3206"/>
      <c r="X138" s="3206"/>
      <c r="Y138" s="3206"/>
      <c r="Z138" s="3206"/>
      <c r="AA138" s="3206"/>
      <c r="AB138" s="3206"/>
      <c r="AC138" s="3206"/>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315</v>
      </c>
      <c r="AP139" s="937"/>
    </row>
    <row r="140" spans="1:52" s="926" customFormat="1" ht="12.75" customHeight="1">
      <c r="A140" s="930"/>
      <c r="B140" s="931" t="s">
        <v>1607</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1608</v>
      </c>
      <c r="AP140" s="994">
        <v>5</v>
      </c>
    </row>
    <row r="141" spans="1:52" s="926" customFormat="1" ht="12.75" customHeight="1">
      <c r="A141" s="930"/>
      <c r="B141" s="3207" t="s">
        <v>1609</v>
      </c>
      <c r="C141" s="3207"/>
      <c r="D141" s="3207"/>
      <c r="E141" s="3207"/>
      <c r="F141" s="3207"/>
      <c r="G141" s="3207"/>
      <c r="H141" s="3207"/>
      <c r="I141" s="3207"/>
      <c r="J141" s="3207"/>
      <c r="K141" s="3207"/>
      <c r="L141" s="3207"/>
      <c r="M141" s="3207"/>
      <c r="N141" s="3207"/>
      <c r="O141" s="3207"/>
      <c r="P141" s="3207"/>
      <c r="Q141" s="3207"/>
      <c r="R141" s="3207"/>
      <c r="S141" s="3207"/>
      <c r="T141" s="3207"/>
      <c r="U141" s="3207"/>
      <c r="V141" s="3207"/>
      <c r="W141" s="3207"/>
      <c r="X141" s="3207"/>
      <c r="Y141" s="3207"/>
      <c r="Z141" s="3207"/>
      <c r="AA141" s="3207"/>
      <c r="AB141" s="3207"/>
      <c r="AC141" s="3207"/>
      <c r="AD141" s="3207"/>
      <c r="AE141" s="3207"/>
      <c r="AF141" s="3207"/>
      <c r="AG141" s="3207"/>
      <c r="AH141" s="3207"/>
      <c r="AI141" s="3207"/>
      <c r="AM141" s="985"/>
      <c r="AN141" s="925"/>
      <c r="AO141" s="993" t="s">
        <v>1609</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1984</v>
      </c>
      <c r="AP142" s="994">
        <v>7</v>
      </c>
    </row>
    <row r="143" spans="1:52" s="926" customFormat="1" ht="12.75" customHeight="1">
      <c r="A143" s="995"/>
      <c r="B143" s="931" t="s">
        <v>1610</v>
      </c>
      <c r="AB143" s="3152" t="s">
        <v>625</v>
      </c>
      <c r="AC143" s="3152"/>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1611</v>
      </c>
      <c r="AP144" s="994"/>
    </row>
    <row r="145" spans="1:42" s="926" customFormat="1" ht="12.75" customHeight="1">
      <c r="A145" s="930"/>
      <c r="B145" s="987" t="s">
        <v>1612</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1613</v>
      </c>
      <c r="AP145" s="994">
        <v>5</v>
      </c>
    </row>
    <row r="146" spans="1:42" s="926" customFormat="1" ht="12.75" customHeight="1">
      <c r="A146" s="930"/>
      <c r="B146" s="3207" t="s">
        <v>1611</v>
      </c>
      <c r="C146" s="3207"/>
      <c r="D146" s="3207"/>
      <c r="E146" s="3207"/>
      <c r="F146" s="3207"/>
      <c r="G146" s="3207"/>
      <c r="H146" s="3207"/>
      <c r="I146" s="3207"/>
      <c r="J146" s="3207"/>
      <c r="K146" s="3207"/>
      <c r="L146" s="3207"/>
      <c r="M146" s="3207"/>
      <c r="N146" s="3207"/>
      <c r="O146" s="3207"/>
      <c r="P146" s="3207"/>
      <c r="Q146" s="3207"/>
      <c r="R146" s="3207"/>
      <c r="S146" s="3207"/>
      <c r="T146" s="3207"/>
      <c r="U146" s="3207"/>
      <c r="V146" s="3207"/>
      <c r="W146" s="3207"/>
      <c r="X146" s="3207"/>
      <c r="Y146" s="3207"/>
      <c r="Z146" s="3207"/>
      <c r="AA146" s="3207"/>
      <c r="AB146" s="3207"/>
      <c r="AC146" s="3207"/>
      <c r="AD146" s="3207"/>
      <c r="AE146" s="3207"/>
      <c r="AF146" s="3207"/>
      <c r="AG146" s="3207"/>
      <c r="AH146" s="3207"/>
      <c r="AI146" s="3207"/>
      <c r="AJ146" s="3207"/>
      <c r="AK146" s="1022"/>
      <c r="AL146" s="1022"/>
      <c r="AM146" s="1022"/>
      <c r="AN146" s="925"/>
      <c r="AO146" s="993" t="s">
        <v>1614</v>
      </c>
      <c r="AP146" s="994">
        <v>7</v>
      </c>
    </row>
    <row r="147" spans="1:42" s="926" customFormat="1" ht="12.75" customHeight="1">
      <c r="B147" s="1011" t="s">
        <v>1615</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1617</v>
      </c>
      <c r="AJ149" s="3208">
        <f>IF($AB$143="N/A",VLOOKUP($B$141,$AO$139:$AP$142,2,FALSE),VLOOKUP($B$146,$AO$144:$AP$147,2,FALSE))</f>
        <v>7</v>
      </c>
      <c r="AK149" s="3208"/>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1619</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47" t="s">
        <v>1620</v>
      </c>
      <c r="AG151" s="3147"/>
      <c r="AH151" s="3147"/>
      <c r="AI151" s="3147"/>
      <c r="AJ151" s="3147"/>
      <c r="AK151" s="3147"/>
      <c r="AL151" s="3147"/>
      <c r="AM151" s="1012"/>
      <c r="AN151" s="1002"/>
    </row>
    <row r="152" spans="1:42" s="942" customFormat="1" ht="12.75" customHeight="1">
      <c r="A152" s="926"/>
      <c r="B152" s="931" t="s">
        <v>1621</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07" t="s">
        <v>1618</v>
      </c>
      <c r="D153" s="3207"/>
      <c r="E153" s="3207"/>
      <c r="F153" s="3207"/>
      <c r="G153" s="3207"/>
      <c r="H153" s="3207"/>
      <c r="I153" s="3207"/>
      <c r="J153" s="3207"/>
      <c r="K153" s="3207"/>
      <c r="L153" s="3207"/>
      <c r="M153" s="3207"/>
      <c r="N153" s="3207"/>
      <c r="O153" s="3207"/>
      <c r="P153" s="3207"/>
      <c r="Q153" s="3207"/>
      <c r="R153" s="3207"/>
      <c r="S153" s="3207"/>
      <c r="T153" s="3207"/>
      <c r="U153" s="3207"/>
      <c r="V153" s="3207"/>
      <c r="W153" s="3207"/>
      <c r="X153" s="3207"/>
      <c r="Y153" s="3207"/>
      <c r="Z153" s="3207"/>
      <c r="AA153" s="3207"/>
      <c r="AB153" s="3207"/>
      <c r="AC153" s="3207"/>
      <c r="AD153" s="3207"/>
      <c r="AE153" s="3207"/>
      <c r="AF153" s="3207"/>
      <c r="AG153" s="3207"/>
      <c r="AH153" s="3207"/>
      <c r="AI153" s="3207"/>
      <c r="AJ153" s="929"/>
      <c r="AK153" s="929"/>
      <c r="AL153" s="929"/>
      <c r="AM153" s="1012"/>
      <c r="AN153" s="999"/>
      <c r="AO153" s="1003" t="s">
        <v>315</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1616</v>
      </c>
      <c r="AP154" s="1006">
        <v>2</v>
      </c>
    </row>
    <row r="155" spans="1:42" s="942" customFormat="1" ht="12.75" customHeight="1">
      <c r="A155" s="929"/>
      <c r="B155" s="929"/>
      <c r="C155" s="931" t="s">
        <v>1623</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2" t="s">
        <v>625</v>
      </c>
      <c r="AD155" s="3152"/>
      <c r="AE155" s="929"/>
      <c r="AF155" s="929"/>
      <c r="AG155" s="929"/>
      <c r="AH155" s="929"/>
      <c r="AI155" s="929"/>
      <c r="AJ155" s="929"/>
      <c r="AK155" s="929"/>
      <c r="AL155" s="929"/>
      <c r="AM155" s="1014"/>
      <c r="AN155" s="999"/>
      <c r="AO155" s="997" t="s">
        <v>1618</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1985</v>
      </c>
      <c r="AP156" s="1006">
        <v>3</v>
      </c>
    </row>
    <row r="157" spans="1:42" s="942" customFormat="1" ht="12.75" customHeight="1">
      <c r="A157" s="929"/>
      <c r="B157" s="929"/>
      <c r="C157" s="3207" t="s">
        <v>1611</v>
      </c>
      <c r="D157" s="3207"/>
      <c r="E157" s="3207"/>
      <c r="F157" s="3207"/>
      <c r="G157" s="3207"/>
      <c r="H157" s="3207"/>
      <c r="I157" s="3207"/>
      <c r="J157" s="3207"/>
      <c r="K157" s="3207"/>
      <c r="L157" s="3207"/>
      <c r="M157" s="3207"/>
      <c r="N157" s="3207"/>
      <c r="O157" s="3207"/>
      <c r="P157" s="3207"/>
      <c r="Q157" s="3207"/>
      <c r="R157" s="3207"/>
      <c r="S157" s="3207"/>
      <c r="T157" s="3207"/>
      <c r="U157" s="3207"/>
      <c r="V157" s="3207"/>
      <c r="W157" s="3207"/>
      <c r="X157" s="3207"/>
      <c r="Y157" s="3207"/>
      <c r="Z157" s="3207"/>
      <c r="AA157" s="3207"/>
      <c r="AB157" s="3207"/>
      <c r="AC157" s="3207"/>
      <c r="AD157" s="3207"/>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1615</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1625</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1611</v>
      </c>
      <c r="AP160" s="997"/>
    </row>
    <row r="161" spans="1:81" s="1001" customFormat="1" ht="12.75" customHeight="1">
      <c r="A161" s="926"/>
      <c r="B161" s="926"/>
      <c r="C161" s="3206" t="s">
        <v>2536</v>
      </c>
      <c r="D161" s="3206"/>
      <c r="E161" s="3206"/>
      <c r="F161" s="3206"/>
      <c r="G161" s="3206"/>
      <c r="H161" s="3206"/>
      <c r="I161" s="3206"/>
      <c r="J161" s="3206"/>
      <c r="K161" s="3206"/>
      <c r="L161" s="3206"/>
      <c r="M161" s="3206"/>
      <c r="N161" s="3206"/>
      <c r="O161" s="3206"/>
      <c r="P161" s="3206"/>
      <c r="Q161" s="3206"/>
      <c r="R161" s="3206"/>
      <c r="S161" s="3206"/>
      <c r="T161" s="3206"/>
      <c r="U161" s="3206"/>
      <c r="V161" s="3206"/>
      <c r="W161" s="3206"/>
      <c r="X161" s="3206"/>
      <c r="Y161" s="3206"/>
      <c r="Z161" s="3206"/>
      <c r="AA161" s="3206"/>
      <c r="AB161" s="3206"/>
      <c r="AC161" s="3206"/>
      <c r="AD161" s="3206"/>
      <c r="AE161" s="929"/>
      <c r="AF161" s="929"/>
      <c r="AG161" s="929"/>
      <c r="AH161" s="929"/>
      <c r="AI161" s="929"/>
      <c r="AJ161" s="929"/>
      <c r="AK161" s="929"/>
      <c r="AL161" s="929"/>
      <c r="AM161" s="1012"/>
      <c r="AN161" s="1000"/>
      <c r="AO161" s="997" t="s">
        <v>1622</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1624</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1626</v>
      </c>
      <c r="AJ163" s="3065">
        <f>IF($AC$155="N/A",VLOOKUP($C$153,$AO$153:$AP$156,2,FALSE),VLOOKUP($C$157,$AO$160:$AP$162,2,FALSE))</f>
        <v>3</v>
      </c>
      <c r="AK163" s="3065"/>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1627</v>
      </c>
      <c r="AK166" s="3201">
        <f>$AJ$149+$AJ$163</f>
        <v>10</v>
      </c>
      <c r="AL166" s="3202"/>
      <c r="AM166" s="3203"/>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1628</v>
      </c>
      <c r="AQ168" s="1029">
        <v>0</v>
      </c>
    </row>
    <row r="169" spans="1:81" s="942" customFormat="1" ht="12.75" customHeight="1">
      <c r="A169" s="987" t="s">
        <v>1629</v>
      </c>
      <c r="B169" s="987" t="s">
        <v>2223</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2" t="s">
        <v>1582</v>
      </c>
      <c r="AF169" s="3112"/>
      <c r="AG169" s="3112"/>
      <c r="AH169" s="3112"/>
      <c r="AI169" s="3112"/>
      <c r="AJ169" s="3112"/>
      <c r="AK169" s="3112"/>
      <c r="AL169" s="1600"/>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1630</v>
      </c>
      <c r="AQ170" s="942">
        <v>10</v>
      </c>
    </row>
    <row r="171" spans="1:81" s="942" customFormat="1" ht="12.75" customHeight="1">
      <c r="A171" s="926"/>
      <c r="B171" s="3204" t="s">
        <v>1155</v>
      </c>
      <c r="C171" s="3204"/>
      <c r="D171" s="3204"/>
      <c r="E171" s="3204"/>
      <c r="F171" s="3204"/>
      <c r="G171" s="3204"/>
      <c r="H171" s="3204"/>
      <c r="I171" s="3204"/>
      <c r="J171" s="3204"/>
      <c r="K171" s="3204"/>
      <c r="L171" s="3204"/>
      <c r="M171" s="3204"/>
      <c r="N171" s="3204"/>
      <c r="O171" s="3204"/>
      <c r="P171" s="3204"/>
      <c r="Q171" s="3204"/>
      <c r="R171" s="3204"/>
      <c r="S171" s="3204"/>
      <c r="T171" s="3204"/>
      <c r="U171" s="3204"/>
      <c r="V171" s="3204"/>
      <c r="W171" s="3204"/>
      <c r="X171" s="3204"/>
      <c r="Y171" s="3204"/>
      <c r="Z171" s="3204"/>
      <c r="AA171" s="3204"/>
      <c r="AB171" s="3204"/>
      <c r="AC171" s="3204"/>
      <c r="AD171" s="1022"/>
      <c r="AE171" s="1022"/>
      <c r="AF171" s="3147" t="s">
        <v>1631</v>
      </c>
      <c r="AG171" s="3147"/>
      <c r="AH171" s="3147"/>
      <c r="AI171" s="3147"/>
      <c r="AJ171" s="3147"/>
      <c r="AK171" s="3147"/>
      <c r="AL171" s="3147"/>
      <c r="AN171" s="999"/>
      <c r="AP171" s="942" t="s">
        <v>1155</v>
      </c>
      <c r="AQ171" s="942">
        <v>10</v>
      </c>
    </row>
    <row r="172" spans="1:81" s="942" customFormat="1" ht="12.75" customHeight="1">
      <c r="A172" s="926"/>
      <c r="B172" s="3205" t="s">
        <v>2222</v>
      </c>
      <c r="C172" s="3205"/>
      <c r="D172" s="3205"/>
      <c r="E172" s="3205"/>
      <c r="F172" s="3205"/>
      <c r="G172" s="3205"/>
      <c r="H172" s="3205"/>
      <c r="I172" s="3205"/>
      <c r="J172" s="3205"/>
      <c r="K172" s="3205"/>
      <c r="L172" s="3205"/>
      <c r="M172" s="3205"/>
      <c r="N172" s="3205"/>
      <c r="O172" s="3205"/>
      <c r="P172" s="3205"/>
      <c r="Q172" s="3205"/>
      <c r="R172" s="3205"/>
      <c r="S172" s="3205"/>
      <c r="T172" s="3206" t="s">
        <v>625</v>
      </c>
      <c r="U172" s="3206"/>
      <c r="V172" s="3206"/>
      <c r="W172" s="3206"/>
      <c r="X172" s="3206"/>
      <c r="Y172" s="3206"/>
      <c r="Z172" s="3206"/>
      <c r="AA172" s="3206"/>
      <c r="AB172" s="3206"/>
      <c r="AC172" s="3206"/>
      <c r="AD172" s="1005"/>
      <c r="AE172" s="1005"/>
      <c r="AF172" s="1005"/>
      <c r="AG172" s="1005"/>
      <c r="AH172" s="1005"/>
      <c r="AI172" s="1005"/>
      <c r="AJ172" s="1799"/>
      <c r="AK172" s="1004"/>
      <c r="AL172" s="1004"/>
      <c r="AM172" s="1004"/>
      <c r="AN172" s="999"/>
      <c r="AP172" s="942" t="s">
        <v>1154</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1632</v>
      </c>
      <c r="AQ173" s="942">
        <v>10</v>
      </c>
      <c r="AS173" s="942" t="s">
        <v>1633</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1634</v>
      </c>
      <c r="AK174" s="3030">
        <f>IF(AK72&gt;0,VLOOKUP($B$171,AP168:AQ175,2,FALSE),0)</f>
        <v>10</v>
      </c>
      <c r="AL174" s="3031"/>
      <c r="AM174" s="3032"/>
      <c r="AN174" s="1038"/>
      <c r="AP174" s="942" t="s">
        <v>1635</v>
      </c>
      <c r="AQ174" s="942">
        <v>10</v>
      </c>
      <c r="AS174" s="942" t="s">
        <v>1636</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1637</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1638</v>
      </c>
      <c r="B177" s="987" t="s">
        <v>1639</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2" t="s">
        <v>1640</v>
      </c>
      <c r="AF177" s="3112"/>
      <c r="AG177" s="3112"/>
      <c r="AH177" s="3112"/>
      <c r="AI177" s="3112"/>
      <c r="AJ177" s="3112"/>
      <c r="AK177" s="3112"/>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1890</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1926</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8" t="str">
        <f>Application!C638</f>
        <v>HCIDLA - HHH</v>
      </c>
      <c r="C182" s="3198"/>
      <c r="D182" s="3198"/>
      <c r="E182" s="3198"/>
      <c r="F182" s="3198"/>
      <c r="G182" s="3198"/>
      <c r="H182" s="3198"/>
      <c r="I182" s="3198"/>
      <c r="J182" s="3198"/>
      <c r="K182" s="3198"/>
      <c r="L182" s="3198"/>
      <c r="M182" s="3198"/>
      <c r="N182" s="3198"/>
      <c r="O182" s="3198"/>
      <c r="P182" s="3198"/>
      <c r="Q182" s="3198"/>
      <c r="R182" s="3198"/>
      <c r="S182" s="3198"/>
      <c r="T182" s="3198"/>
      <c r="U182" s="3198"/>
      <c r="V182" s="3198"/>
      <c r="W182" s="3198"/>
      <c r="X182" s="3198"/>
      <c r="Y182" s="3198"/>
      <c r="Z182" s="3198"/>
      <c r="AA182" s="3198"/>
      <c r="AB182" s="3198"/>
      <c r="AC182" s="1396"/>
      <c r="AD182" s="3188">
        <f>Application!AO638</f>
        <v>8555556</v>
      </c>
      <c r="AE182" s="3188"/>
      <c r="AF182" s="3188"/>
      <c r="AG182" s="3188"/>
      <c r="AH182" s="3188"/>
      <c r="AI182" s="3188"/>
      <c r="AJ182" s="3188"/>
      <c r="AK182" s="1023"/>
    </row>
    <row r="183" spans="1:37">
      <c r="A183" s="1015"/>
      <c r="B183" s="3198" t="str">
        <f>Application!C640</f>
        <v>LACDA - No Place Like Home</v>
      </c>
      <c r="C183" s="3198"/>
      <c r="D183" s="3198"/>
      <c r="E183" s="3198"/>
      <c r="F183" s="3198"/>
      <c r="G183" s="3198"/>
      <c r="H183" s="3198"/>
      <c r="I183" s="3198"/>
      <c r="J183" s="3198"/>
      <c r="K183" s="3198"/>
      <c r="L183" s="3198"/>
      <c r="M183" s="3198"/>
      <c r="N183" s="3198"/>
      <c r="O183" s="3198"/>
      <c r="P183" s="3198"/>
      <c r="Q183" s="3198"/>
      <c r="R183" s="3198"/>
      <c r="S183" s="3198"/>
      <c r="T183" s="3198"/>
      <c r="U183" s="3198"/>
      <c r="V183" s="3198"/>
      <c r="W183" s="3198"/>
      <c r="X183" s="3198"/>
      <c r="Y183" s="3198"/>
      <c r="Z183" s="3198"/>
      <c r="AA183" s="3198"/>
      <c r="AB183" s="3198"/>
      <c r="AC183" s="1396"/>
      <c r="AD183" s="3188">
        <f>Application!AO640</f>
        <v>6020000</v>
      </c>
      <c r="AE183" s="3188"/>
      <c r="AF183" s="3188"/>
      <c r="AG183" s="3188"/>
      <c r="AH183" s="3188"/>
      <c r="AI183" s="3188"/>
      <c r="AJ183" s="3188"/>
      <c r="AK183" s="1023"/>
    </row>
    <row r="184" spans="1:37">
      <c r="A184" s="1015"/>
      <c r="B184" s="3198"/>
      <c r="C184" s="3198"/>
      <c r="D184" s="3198"/>
      <c r="E184" s="3198"/>
      <c r="F184" s="3198"/>
      <c r="G184" s="3198"/>
      <c r="H184" s="3198"/>
      <c r="I184" s="3198"/>
      <c r="J184" s="3198"/>
      <c r="K184" s="3198"/>
      <c r="L184" s="3198"/>
      <c r="M184" s="3198"/>
      <c r="N184" s="3198"/>
      <c r="O184" s="3198"/>
      <c r="P184" s="3198"/>
      <c r="Q184" s="3198"/>
      <c r="R184" s="3198"/>
      <c r="S184" s="3198"/>
      <c r="T184" s="3198"/>
      <c r="U184" s="3198"/>
      <c r="V184" s="3198"/>
      <c r="W184" s="3198"/>
      <c r="X184" s="3198"/>
      <c r="Y184" s="3198"/>
      <c r="Z184" s="3198"/>
      <c r="AA184" s="3198"/>
      <c r="AB184" s="3198"/>
      <c r="AC184" s="1396"/>
      <c r="AD184" s="3188"/>
      <c r="AE184" s="3188"/>
      <c r="AF184" s="3188"/>
      <c r="AG184" s="3188"/>
      <c r="AH184" s="3188"/>
      <c r="AI184" s="3188"/>
      <c r="AJ184" s="3188"/>
      <c r="AK184" s="1023"/>
    </row>
    <row r="185" spans="1:37">
      <c r="A185" s="1015"/>
      <c r="B185" s="3198"/>
      <c r="C185" s="3198"/>
      <c r="D185" s="3198"/>
      <c r="E185" s="3198"/>
      <c r="F185" s="3198"/>
      <c r="G185" s="3198"/>
      <c r="H185" s="3198"/>
      <c r="I185" s="3198"/>
      <c r="J185" s="3198"/>
      <c r="K185" s="3198"/>
      <c r="L185" s="3198"/>
      <c r="M185" s="3198"/>
      <c r="N185" s="3198"/>
      <c r="O185" s="3198"/>
      <c r="P185" s="3198"/>
      <c r="Q185" s="3198"/>
      <c r="R185" s="3198"/>
      <c r="S185" s="3198"/>
      <c r="T185" s="3198"/>
      <c r="U185" s="3198"/>
      <c r="V185" s="3198"/>
      <c r="W185" s="3198"/>
      <c r="X185" s="3198"/>
      <c r="Y185" s="3198"/>
      <c r="Z185" s="3198"/>
      <c r="AA185" s="3198"/>
      <c r="AB185" s="3198"/>
      <c r="AC185" s="1396"/>
      <c r="AD185" s="3188"/>
      <c r="AE185" s="3188"/>
      <c r="AF185" s="3188"/>
      <c r="AG185" s="3188"/>
      <c r="AH185" s="3188"/>
      <c r="AI185" s="3188"/>
      <c r="AJ185" s="3188"/>
      <c r="AK185" s="1023"/>
    </row>
    <row r="186" spans="1:37">
      <c r="A186" s="1015"/>
      <c r="B186" s="3198"/>
      <c r="C186" s="3198"/>
      <c r="D186" s="3198"/>
      <c r="E186" s="3198"/>
      <c r="F186" s="3198"/>
      <c r="G186" s="3198"/>
      <c r="H186" s="3198"/>
      <c r="I186" s="3198"/>
      <c r="J186" s="3198"/>
      <c r="K186" s="3198"/>
      <c r="L186" s="3198"/>
      <c r="M186" s="3198"/>
      <c r="N186" s="3198"/>
      <c r="O186" s="3198"/>
      <c r="P186" s="3198"/>
      <c r="Q186" s="3198"/>
      <c r="R186" s="3198"/>
      <c r="S186" s="3198"/>
      <c r="T186" s="3198"/>
      <c r="U186" s="3198"/>
      <c r="V186" s="3198"/>
      <c r="W186" s="3198"/>
      <c r="X186" s="3198"/>
      <c r="Y186" s="3198"/>
      <c r="Z186" s="3198"/>
      <c r="AA186" s="3198"/>
      <c r="AB186" s="3198"/>
      <c r="AC186" s="1396"/>
      <c r="AD186" s="3188"/>
      <c r="AE186" s="3188"/>
      <c r="AF186" s="3188"/>
      <c r="AG186" s="3188"/>
      <c r="AH186" s="3188"/>
      <c r="AI186" s="3188"/>
      <c r="AJ186" s="3188"/>
      <c r="AK186" s="1023"/>
    </row>
    <row r="187" spans="1:37">
      <c r="A187" s="1015"/>
      <c r="B187" s="3198"/>
      <c r="C187" s="3198"/>
      <c r="D187" s="3198"/>
      <c r="E187" s="3198"/>
      <c r="F187" s="3198"/>
      <c r="G187" s="3198"/>
      <c r="H187" s="3198"/>
      <c r="I187" s="3198"/>
      <c r="J187" s="3198"/>
      <c r="K187" s="3198"/>
      <c r="L187" s="3198"/>
      <c r="M187" s="3198"/>
      <c r="N187" s="3198"/>
      <c r="O187" s="3198"/>
      <c r="P187" s="3198"/>
      <c r="Q187" s="3198"/>
      <c r="R187" s="3198"/>
      <c r="S187" s="3198"/>
      <c r="T187" s="3198"/>
      <c r="U187" s="3198"/>
      <c r="V187" s="3198"/>
      <c r="W187" s="3198"/>
      <c r="X187" s="3198"/>
      <c r="Y187" s="3198"/>
      <c r="Z187" s="3198"/>
      <c r="AA187" s="3198"/>
      <c r="AB187" s="3198"/>
      <c r="AC187" s="1396"/>
      <c r="AD187" s="3188"/>
      <c r="AE187" s="3188"/>
      <c r="AF187" s="3188"/>
      <c r="AG187" s="3188"/>
      <c r="AH187" s="3188"/>
      <c r="AI187" s="3188"/>
      <c r="AJ187" s="3188"/>
      <c r="AK187" s="1023"/>
    </row>
    <row r="188" spans="1:37">
      <c r="A188" s="1015"/>
      <c r="B188" s="3198"/>
      <c r="C188" s="3198"/>
      <c r="D188" s="3198"/>
      <c r="E188" s="3198"/>
      <c r="F188" s="3198"/>
      <c r="G188" s="3198"/>
      <c r="H188" s="3198"/>
      <c r="I188" s="3198"/>
      <c r="J188" s="3198"/>
      <c r="K188" s="3198"/>
      <c r="L188" s="3198"/>
      <c r="M188" s="3198"/>
      <c r="N188" s="3198"/>
      <c r="O188" s="3198"/>
      <c r="P188" s="3198"/>
      <c r="Q188" s="3198"/>
      <c r="R188" s="3198"/>
      <c r="S188" s="3198"/>
      <c r="T188" s="3198"/>
      <c r="U188" s="3198"/>
      <c r="V188" s="3198"/>
      <c r="W188" s="3198"/>
      <c r="X188" s="3198"/>
      <c r="Y188" s="3198"/>
      <c r="Z188" s="3198"/>
      <c r="AA188" s="3198"/>
      <c r="AB188" s="3198"/>
      <c r="AC188" s="1396"/>
      <c r="AD188" s="3188"/>
      <c r="AE188" s="3188"/>
      <c r="AF188" s="3188"/>
      <c r="AG188" s="3188"/>
      <c r="AH188" s="3188"/>
      <c r="AI188" s="3188"/>
      <c r="AJ188" s="3188"/>
      <c r="AK188" s="1023"/>
    </row>
    <row r="189" spans="1:37">
      <c r="A189" s="1015"/>
      <c r="B189" s="3198"/>
      <c r="C189" s="3198"/>
      <c r="D189" s="3198"/>
      <c r="E189" s="3198"/>
      <c r="F189" s="3198"/>
      <c r="G189" s="3198"/>
      <c r="H189" s="3198"/>
      <c r="I189" s="3198"/>
      <c r="J189" s="3198"/>
      <c r="K189" s="3198"/>
      <c r="L189" s="3198"/>
      <c r="M189" s="3198"/>
      <c r="N189" s="3198"/>
      <c r="O189" s="3198"/>
      <c r="P189" s="3198"/>
      <c r="Q189" s="3198"/>
      <c r="R189" s="3198"/>
      <c r="S189" s="3198"/>
      <c r="T189" s="3198"/>
      <c r="U189" s="3198"/>
      <c r="V189" s="3198"/>
      <c r="W189" s="3198"/>
      <c r="X189" s="3198"/>
      <c r="Y189" s="3198"/>
      <c r="Z189" s="3198"/>
      <c r="AA189" s="3198"/>
      <c r="AB189" s="3198"/>
      <c r="AC189" s="1396"/>
      <c r="AD189" s="3188"/>
      <c r="AE189" s="3188"/>
      <c r="AF189" s="3188"/>
      <c r="AG189" s="3188"/>
      <c r="AH189" s="3188"/>
      <c r="AI189" s="3188"/>
      <c r="AJ189" s="3188"/>
      <c r="AK189" s="1023"/>
    </row>
    <row r="190" spans="1:37">
      <c r="A190" s="1015"/>
      <c r="B190" s="3198"/>
      <c r="C190" s="3198"/>
      <c r="D190" s="3198"/>
      <c r="E190" s="3198"/>
      <c r="F190" s="3198"/>
      <c r="G190" s="3198"/>
      <c r="H190" s="3198"/>
      <c r="I190" s="3198"/>
      <c r="J190" s="3198"/>
      <c r="K190" s="3198"/>
      <c r="L190" s="3198"/>
      <c r="M190" s="3198"/>
      <c r="N190" s="3198"/>
      <c r="O190" s="3198"/>
      <c r="P190" s="3198"/>
      <c r="Q190" s="3198"/>
      <c r="R190" s="3198"/>
      <c r="S190" s="3198"/>
      <c r="T190" s="3198"/>
      <c r="U190" s="3198"/>
      <c r="V190" s="3198"/>
      <c r="W190" s="3198"/>
      <c r="X190" s="3198"/>
      <c r="Y190" s="3198"/>
      <c r="Z190" s="3198"/>
      <c r="AA190" s="3198"/>
      <c r="AB190" s="3198"/>
      <c r="AC190" s="1396"/>
      <c r="AD190" s="3188"/>
      <c r="AE190" s="3188"/>
      <c r="AF190" s="3188"/>
      <c r="AG190" s="3188"/>
      <c r="AH190" s="3188"/>
      <c r="AI190" s="3188"/>
      <c r="AJ190" s="3188"/>
      <c r="AK190" s="1023"/>
    </row>
    <row r="191" spans="1:37">
      <c r="A191" s="1015"/>
      <c r="B191" s="3198"/>
      <c r="C191" s="3198"/>
      <c r="D191" s="3198"/>
      <c r="E191" s="3198"/>
      <c r="F191" s="3198"/>
      <c r="G191" s="3198"/>
      <c r="H191" s="3198"/>
      <c r="I191" s="3198"/>
      <c r="J191" s="3198"/>
      <c r="K191" s="3198"/>
      <c r="L191" s="3198"/>
      <c r="M191" s="3198"/>
      <c r="N191" s="3198"/>
      <c r="O191" s="3198"/>
      <c r="P191" s="3198"/>
      <c r="Q191" s="3198"/>
      <c r="R191" s="3198"/>
      <c r="S191" s="3198"/>
      <c r="T191" s="3198"/>
      <c r="U191" s="3198"/>
      <c r="V191" s="3198"/>
      <c r="W191" s="3198"/>
      <c r="X191" s="3198"/>
      <c r="Y191" s="3198"/>
      <c r="Z191" s="3198"/>
      <c r="AA191" s="3198"/>
      <c r="AB191" s="3198"/>
      <c r="AC191" s="1396"/>
      <c r="AD191" s="3188"/>
      <c r="AE191" s="3188"/>
      <c r="AF191" s="3188"/>
      <c r="AG191" s="3188"/>
      <c r="AH191" s="3188"/>
      <c r="AI191" s="3188"/>
      <c r="AJ191" s="3188"/>
      <c r="AK191" s="1023"/>
    </row>
    <row r="192" spans="1:37">
      <c r="A192" s="1015"/>
      <c r="B192" s="3052" t="s">
        <v>1928</v>
      </c>
      <c r="C192" s="3052"/>
      <c r="D192" s="3052"/>
      <c r="E192" s="3052"/>
      <c r="F192" s="3052"/>
      <c r="G192" s="3052"/>
      <c r="H192" s="3052"/>
      <c r="I192" s="3052"/>
      <c r="J192" s="3052"/>
      <c r="K192" s="3052"/>
      <c r="L192" s="3052"/>
      <c r="M192" s="3052"/>
      <c r="N192" s="3052"/>
      <c r="O192" s="3052"/>
      <c r="P192" s="3052"/>
      <c r="Q192" s="3052"/>
      <c r="R192" s="3052"/>
      <c r="S192" s="3052"/>
      <c r="T192" s="3052"/>
      <c r="U192" s="3052"/>
      <c r="V192" s="3052"/>
      <c r="W192" s="3052"/>
      <c r="X192" s="3052"/>
      <c r="Y192" s="3052"/>
      <c r="Z192" s="3052"/>
      <c r="AA192" s="3052"/>
      <c r="AB192" s="3052"/>
      <c r="AC192" s="926"/>
      <c r="AD192" s="3186">
        <f>AB243</f>
        <v>7351255.2988206493</v>
      </c>
      <c r="AE192" s="3186"/>
      <c r="AF192" s="3186"/>
      <c r="AG192" s="3186"/>
      <c r="AH192" s="3186"/>
      <c r="AI192" s="3186"/>
      <c r="AJ192" s="3186"/>
      <c r="AK192" s="1023"/>
    </row>
    <row r="193" spans="1:37">
      <c r="A193" s="1015"/>
      <c r="B193" s="3050" t="s">
        <v>1891</v>
      </c>
      <c r="C193" s="3050"/>
      <c r="D193" s="3050"/>
      <c r="E193" s="3050"/>
      <c r="F193" s="3050"/>
      <c r="G193" s="3050"/>
      <c r="H193" s="3050"/>
      <c r="I193" s="3050"/>
      <c r="J193" s="3050"/>
      <c r="K193" s="3050"/>
      <c r="L193" s="3050"/>
      <c r="M193" s="3050"/>
      <c r="N193" s="3050"/>
      <c r="O193" s="3050"/>
      <c r="P193" s="3050"/>
      <c r="Q193" s="3050"/>
      <c r="R193" s="3050"/>
      <c r="S193" s="3050"/>
      <c r="T193" s="3050"/>
      <c r="U193" s="3050"/>
      <c r="V193" s="3050"/>
      <c r="W193" s="3050"/>
      <c r="X193" s="3050"/>
      <c r="Y193" s="3050"/>
      <c r="Z193" s="3050"/>
      <c r="AA193" s="3050"/>
      <c r="AB193" s="3050"/>
      <c r="AC193" s="1396"/>
      <c r="AD193" s="3187">
        <f>'Sources and Uses Budget'!B15</f>
        <v>0</v>
      </c>
      <c r="AE193" s="3187"/>
      <c r="AF193" s="3187"/>
      <c r="AG193" s="3187"/>
      <c r="AH193" s="3187"/>
      <c r="AI193" s="3187"/>
      <c r="AJ193" s="3187"/>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92">
        <f>SUM(AD182:AJ192)-AD193</f>
        <v>21926811.298820648</v>
      </c>
      <c r="AE194" s="3192"/>
      <c r="AF194" s="3192"/>
      <c r="AG194" s="3192"/>
      <c r="AH194" s="3192"/>
      <c r="AI194" s="3192"/>
      <c r="AJ194" s="3192"/>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1896</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1927</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1898</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1899</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1982</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1900</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1901</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1983</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3" t="s">
        <v>1908</v>
      </c>
      <c r="J205" s="3213"/>
      <c r="K205" s="3213"/>
      <c r="L205" s="990"/>
      <c r="M205" s="990"/>
      <c r="N205" s="990"/>
      <c r="O205" s="990"/>
      <c r="P205" s="990"/>
      <c r="Q205" s="990"/>
      <c r="R205" s="990"/>
      <c r="S205" s="990"/>
      <c r="T205" s="3013" t="s">
        <v>1902</v>
      </c>
      <c r="U205" s="3013"/>
      <c r="V205" s="3013"/>
      <c r="W205" s="3013"/>
      <c r="X205" s="3013"/>
      <c r="Y205" s="3013"/>
      <c r="Z205" s="1400"/>
      <c r="AA205" s="1401"/>
      <c r="AB205" s="3209" t="s">
        <v>1903</v>
      </c>
      <c r="AC205" s="3209"/>
      <c r="AD205" s="3209"/>
      <c r="AE205" s="3209"/>
      <c r="AF205" s="3209"/>
      <c r="AG205" s="3209"/>
      <c r="AH205" s="1370"/>
      <c r="AI205" s="1370"/>
      <c r="AJ205" s="1370"/>
      <c r="AK205" s="1023"/>
    </row>
    <row r="206" spans="1:37">
      <c r="A206" s="1015"/>
      <c r="B206" s="3211" t="s">
        <v>1881</v>
      </c>
      <c r="C206" s="3211"/>
      <c r="D206" s="3211"/>
      <c r="E206" s="3211"/>
      <c r="F206" s="3211"/>
      <c r="G206" s="3211"/>
      <c r="I206" s="3212" t="s">
        <v>1909</v>
      </c>
      <c r="J206" s="3212"/>
      <c r="K206" s="3212"/>
      <c r="L206" s="1798"/>
      <c r="N206" s="3051" t="s">
        <v>1904</v>
      </c>
      <c r="O206" s="3051"/>
      <c r="P206" s="3051"/>
      <c r="Q206" s="3051"/>
      <c r="R206" s="3051"/>
      <c r="T206" s="3051" t="s">
        <v>1905</v>
      </c>
      <c r="U206" s="3051"/>
      <c r="V206" s="3051"/>
      <c r="W206" s="3051"/>
      <c r="X206" s="3051"/>
      <c r="Y206" s="3051"/>
      <c r="Z206" s="1402"/>
      <c r="AA206" s="1401"/>
      <c r="AB206" s="3054" t="s">
        <v>1906</v>
      </c>
      <c r="AC206" s="3054"/>
      <c r="AD206" s="3054"/>
      <c r="AE206" s="3054"/>
      <c r="AF206" s="3054"/>
      <c r="AG206" s="3054"/>
      <c r="AH206" s="1370"/>
      <c r="AI206" s="1370"/>
      <c r="AJ206" s="1370"/>
      <c r="AK206" s="1023"/>
    </row>
    <row r="207" spans="1:37">
      <c r="A207" s="1015"/>
      <c r="B207" s="3053" t="s">
        <v>332</v>
      </c>
      <c r="C207" s="3053"/>
      <c r="D207" s="3053"/>
      <c r="E207" s="3053"/>
      <c r="F207" s="3053"/>
      <c r="G207" s="3053"/>
      <c r="H207" s="1404"/>
      <c r="I207" s="3018">
        <v>88</v>
      </c>
      <c r="J207" s="3018"/>
      <c r="K207" s="3018"/>
      <c r="L207" s="1798"/>
      <c r="N207" s="3015">
        <v>591</v>
      </c>
      <c r="O207" s="3015"/>
      <c r="P207" s="3015"/>
      <c r="Q207" s="3015"/>
      <c r="R207" s="3015"/>
      <c r="T207" s="3014">
        <v>1339</v>
      </c>
      <c r="U207" s="3014"/>
      <c r="V207" s="3014"/>
      <c r="W207" s="3014"/>
      <c r="X207" s="3014"/>
      <c r="Y207" s="3014"/>
      <c r="Z207" s="1403"/>
      <c r="AA207" s="1403"/>
      <c r="AB207" s="3012">
        <f t="shared" ref="AB207:AB216" si="0">MAX(($T207-$N207)*$I207*12,0)</f>
        <v>789888</v>
      </c>
      <c r="AC207" s="3012"/>
      <c r="AD207" s="3012"/>
      <c r="AE207" s="3012"/>
      <c r="AF207" s="3012"/>
      <c r="AG207" s="3012"/>
      <c r="AH207" s="1370"/>
      <c r="AI207" s="1370"/>
      <c r="AJ207" s="1370"/>
      <c r="AK207" s="1023"/>
    </row>
    <row r="208" spans="1:37">
      <c r="A208" s="1015"/>
      <c r="B208" s="3053" t="s">
        <v>1382</v>
      </c>
      <c r="C208" s="3053"/>
      <c r="D208" s="3053"/>
      <c r="E208" s="3053"/>
      <c r="F208" s="3053"/>
      <c r="G208" s="3053"/>
      <c r="I208" s="3018"/>
      <c r="J208" s="3018"/>
      <c r="K208" s="3018"/>
      <c r="L208" s="1798"/>
      <c r="N208" s="3015"/>
      <c r="O208" s="3015"/>
      <c r="P208" s="3015"/>
      <c r="Q208" s="3015"/>
      <c r="R208" s="3015"/>
      <c r="T208" s="3014"/>
      <c r="U208" s="3014"/>
      <c r="V208" s="3014"/>
      <c r="W208" s="3014"/>
      <c r="X208" s="3014"/>
      <c r="Y208" s="3014"/>
      <c r="Z208" s="1403"/>
      <c r="AA208" s="1403"/>
      <c r="AB208" s="3012">
        <f t="shared" si="0"/>
        <v>0</v>
      </c>
      <c r="AC208" s="3012"/>
      <c r="AD208" s="3012"/>
      <c r="AE208" s="3012"/>
      <c r="AF208" s="3012"/>
      <c r="AG208" s="3012"/>
      <c r="AH208" s="1370"/>
      <c r="AI208" s="1370"/>
      <c r="AJ208" s="1370"/>
      <c r="AK208" s="1023"/>
    </row>
    <row r="209" spans="1:37">
      <c r="A209" s="1015"/>
      <c r="B209" s="3053" t="s">
        <v>1382</v>
      </c>
      <c r="C209" s="3053"/>
      <c r="D209" s="3053"/>
      <c r="E209" s="3053"/>
      <c r="F209" s="3053"/>
      <c r="G209" s="3053"/>
      <c r="I209" s="3018"/>
      <c r="J209" s="3018"/>
      <c r="K209" s="3018"/>
      <c r="L209" s="1798"/>
      <c r="N209" s="3015"/>
      <c r="O209" s="3015"/>
      <c r="P209" s="3015"/>
      <c r="Q209" s="3015"/>
      <c r="R209" s="3015"/>
      <c r="T209" s="3014"/>
      <c r="U209" s="3014"/>
      <c r="V209" s="3014"/>
      <c r="W209" s="3014"/>
      <c r="X209" s="3014"/>
      <c r="Y209" s="3014"/>
      <c r="Z209" s="1403"/>
      <c r="AA209" s="1403"/>
      <c r="AB209" s="3012">
        <f t="shared" si="0"/>
        <v>0</v>
      </c>
      <c r="AC209" s="3012"/>
      <c r="AD209" s="3012"/>
      <c r="AE209" s="3012"/>
      <c r="AF209" s="3012"/>
      <c r="AG209" s="3012"/>
      <c r="AH209" s="1370"/>
      <c r="AI209" s="1370"/>
      <c r="AJ209" s="1370"/>
      <c r="AK209" s="1023"/>
    </row>
    <row r="210" spans="1:37">
      <c r="A210" s="1015"/>
      <c r="B210" s="3053" t="s">
        <v>1382</v>
      </c>
      <c r="C210" s="3053"/>
      <c r="D210" s="3053"/>
      <c r="E210" s="3053"/>
      <c r="F210" s="3053"/>
      <c r="G210" s="3053"/>
      <c r="I210" s="3018"/>
      <c r="J210" s="3018"/>
      <c r="K210" s="3018"/>
      <c r="L210" s="1798"/>
      <c r="N210" s="3015"/>
      <c r="O210" s="3015"/>
      <c r="P210" s="3015"/>
      <c r="Q210" s="3015"/>
      <c r="R210" s="3015"/>
      <c r="T210" s="3014"/>
      <c r="U210" s="3014"/>
      <c r="V210" s="3014"/>
      <c r="W210" s="3014"/>
      <c r="X210" s="3014"/>
      <c r="Y210" s="3014"/>
      <c r="Z210" s="1403"/>
      <c r="AA210" s="1403"/>
      <c r="AB210" s="3012">
        <f t="shared" si="0"/>
        <v>0</v>
      </c>
      <c r="AC210" s="3012"/>
      <c r="AD210" s="3012"/>
      <c r="AE210" s="3012"/>
      <c r="AF210" s="3012"/>
      <c r="AG210" s="3012"/>
      <c r="AH210" s="1370"/>
      <c r="AI210" s="1370"/>
      <c r="AJ210" s="1370"/>
      <c r="AK210" s="1023"/>
    </row>
    <row r="211" spans="1:37">
      <c r="A211" s="1015"/>
      <c r="B211" s="3053" t="s">
        <v>1382</v>
      </c>
      <c r="C211" s="3053"/>
      <c r="D211" s="3053"/>
      <c r="E211" s="3053"/>
      <c r="F211" s="3053"/>
      <c r="G211" s="3053"/>
      <c r="I211" s="3018"/>
      <c r="J211" s="3018"/>
      <c r="K211" s="3018"/>
      <c r="L211" s="1810"/>
      <c r="N211" s="3015"/>
      <c r="O211" s="3015"/>
      <c r="P211" s="3015"/>
      <c r="Q211" s="3015"/>
      <c r="R211" s="3015"/>
      <c r="T211" s="3014"/>
      <c r="U211" s="3014"/>
      <c r="V211" s="3014"/>
      <c r="W211" s="3014"/>
      <c r="X211" s="3014"/>
      <c r="Y211" s="3014"/>
      <c r="Z211" s="1403"/>
      <c r="AA211" s="1403"/>
      <c r="AB211" s="3012">
        <f t="shared" si="0"/>
        <v>0</v>
      </c>
      <c r="AC211" s="3012"/>
      <c r="AD211" s="3012"/>
      <c r="AE211" s="3012"/>
      <c r="AF211" s="3012"/>
      <c r="AG211" s="3012"/>
      <c r="AH211" s="1370"/>
      <c r="AI211" s="1370"/>
      <c r="AJ211" s="1370"/>
      <c r="AK211" s="1023"/>
    </row>
    <row r="212" spans="1:37">
      <c r="A212" s="1015"/>
      <c r="B212" s="3053" t="s">
        <v>1382</v>
      </c>
      <c r="C212" s="3053"/>
      <c r="D212" s="3053"/>
      <c r="E212" s="3053"/>
      <c r="F212" s="3053"/>
      <c r="G212" s="3053"/>
      <c r="I212" s="3018"/>
      <c r="J212" s="3018"/>
      <c r="K212" s="3018"/>
      <c r="L212" s="1810"/>
      <c r="N212" s="3015"/>
      <c r="O212" s="3015"/>
      <c r="P212" s="3015"/>
      <c r="Q212" s="3015"/>
      <c r="R212" s="3015"/>
      <c r="T212" s="3014"/>
      <c r="U212" s="3014"/>
      <c r="V212" s="3014"/>
      <c r="W212" s="3014"/>
      <c r="X212" s="3014"/>
      <c r="Y212" s="3014"/>
      <c r="Z212" s="1403"/>
      <c r="AA212" s="1403"/>
      <c r="AB212" s="3012">
        <f t="shared" si="0"/>
        <v>0</v>
      </c>
      <c r="AC212" s="3012"/>
      <c r="AD212" s="3012"/>
      <c r="AE212" s="3012"/>
      <c r="AF212" s="3012"/>
      <c r="AG212" s="3012"/>
      <c r="AH212" s="1370"/>
      <c r="AI212" s="1370"/>
      <c r="AJ212" s="1370"/>
      <c r="AK212" s="1023"/>
    </row>
    <row r="213" spans="1:37">
      <c r="A213" s="1015"/>
      <c r="B213" s="3053" t="s">
        <v>1382</v>
      </c>
      <c r="C213" s="3053"/>
      <c r="D213" s="3053"/>
      <c r="E213" s="3053"/>
      <c r="F213" s="3053"/>
      <c r="G213" s="3053"/>
      <c r="I213" s="3018"/>
      <c r="J213" s="3018"/>
      <c r="K213" s="3018"/>
      <c r="L213" s="1810"/>
      <c r="N213" s="3015"/>
      <c r="O213" s="3015"/>
      <c r="P213" s="3015"/>
      <c r="Q213" s="3015"/>
      <c r="R213" s="3015"/>
      <c r="T213" s="3014"/>
      <c r="U213" s="3014"/>
      <c r="V213" s="3014"/>
      <c r="W213" s="3014"/>
      <c r="X213" s="3014"/>
      <c r="Y213" s="3014"/>
      <c r="Z213" s="1403"/>
      <c r="AA213" s="1403"/>
      <c r="AB213" s="3012">
        <f t="shared" si="0"/>
        <v>0</v>
      </c>
      <c r="AC213" s="3012"/>
      <c r="AD213" s="3012"/>
      <c r="AE213" s="3012"/>
      <c r="AF213" s="3012"/>
      <c r="AG213" s="3012"/>
      <c r="AH213" s="1370"/>
      <c r="AI213" s="1370"/>
      <c r="AJ213" s="1370"/>
      <c r="AK213" s="1023"/>
    </row>
    <row r="214" spans="1:37">
      <c r="A214" s="1015"/>
      <c r="B214" s="3053" t="s">
        <v>1382</v>
      </c>
      <c r="C214" s="3053"/>
      <c r="D214" s="3053"/>
      <c r="E214" s="3053"/>
      <c r="F214" s="3053"/>
      <c r="G214" s="3053"/>
      <c r="I214" s="3018"/>
      <c r="J214" s="3018"/>
      <c r="K214" s="3018"/>
      <c r="L214" s="1810"/>
      <c r="N214" s="3015"/>
      <c r="O214" s="3015"/>
      <c r="P214" s="3015"/>
      <c r="Q214" s="3015"/>
      <c r="R214" s="3015"/>
      <c r="T214" s="3014"/>
      <c r="U214" s="3014"/>
      <c r="V214" s="3014"/>
      <c r="W214" s="3014"/>
      <c r="X214" s="3014"/>
      <c r="Y214" s="3014"/>
      <c r="Z214" s="1403"/>
      <c r="AA214" s="1403"/>
      <c r="AB214" s="3012">
        <f t="shared" si="0"/>
        <v>0</v>
      </c>
      <c r="AC214" s="3012"/>
      <c r="AD214" s="3012"/>
      <c r="AE214" s="3012"/>
      <c r="AF214" s="3012"/>
      <c r="AG214" s="3012"/>
      <c r="AH214" s="1370"/>
      <c r="AI214" s="1370"/>
      <c r="AJ214" s="1370"/>
      <c r="AK214" s="1023"/>
    </row>
    <row r="215" spans="1:37">
      <c r="A215" s="1015"/>
      <c r="B215" s="3053" t="s">
        <v>1382</v>
      </c>
      <c r="C215" s="3053"/>
      <c r="D215" s="3053"/>
      <c r="E215" s="3053"/>
      <c r="F215" s="3053"/>
      <c r="G215" s="3053"/>
      <c r="I215" s="3018"/>
      <c r="J215" s="3018"/>
      <c r="K215" s="3018"/>
      <c r="L215" s="1810"/>
      <c r="N215" s="3015"/>
      <c r="O215" s="3015"/>
      <c r="P215" s="3015"/>
      <c r="Q215" s="3015"/>
      <c r="R215" s="3015"/>
      <c r="T215" s="3014"/>
      <c r="U215" s="3014"/>
      <c r="V215" s="3014"/>
      <c r="W215" s="3014"/>
      <c r="X215" s="3014"/>
      <c r="Y215" s="3014"/>
      <c r="Z215" s="1403"/>
      <c r="AA215" s="1403"/>
      <c r="AB215" s="3012">
        <f t="shared" si="0"/>
        <v>0</v>
      </c>
      <c r="AC215" s="3012"/>
      <c r="AD215" s="3012"/>
      <c r="AE215" s="3012"/>
      <c r="AF215" s="3012"/>
      <c r="AG215" s="3012"/>
      <c r="AH215" s="1370"/>
      <c r="AI215" s="1370"/>
      <c r="AJ215" s="1370"/>
      <c r="AK215" s="1023"/>
    </row>
    <row r="216" spans="1:37">
      <c r="A216" s="1015"/>
      <c r="B216" s="3053" t="s">
        <v>1382</v>
      </c>
      <c r="C216" s="3053"/>
      <c r="D216" s="3053"/>
      <c r="E216" s="3053"/>
      <c r="F216" s="3053"/>
      <c r="G216" s="3053"/>
      <c r="I216" s="3214"/>
      <c r="J216" s="3214"/>
      <c r="K216" s="3214"/>
      <c r="L216" s="1810"/>
      <c r="N216" s="3015"/>
      <c r="O216" s="3015"/>
      <c r="P216" s="3015"/>
      <c r="Q216" s="3015"/>
      <c r="R216" s="3015"/>
      <c r="T216" s="3014"/>
      <c r="U216" s="3014"/>
      <c r="V216" s="3014"/>
      <c r="W216" s="3014"/>
      <c r="X216" s="3014"/>
      <c r="Y216" s="3014"/>
      <c r="Z216" s="1403"/>
      <c r="AA216" s="1403"/>
      <c r="AB216" s="3020">
        <f t="shared" si="0"/>
        <v>0</v>
      </c>
      <c r="AC216" s="3020"/>
      <c r="AD216" s="3020"/>
      <c r="AE216" s="3020"/>
      <c r="AF216" s="3020"/>
      <c r="AG216" s="3020"/>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1907</v>
      </c>
      <c r="AA217" s="1797"/>
      <c r="AB217" s="3012">
        <f>SUM(AB207:AB216)</f>
        <v>789888</v>
      </c>
      <c r="AC217" s="3012"/>
      <c r="AD217" s="3012"/>
      <c r="AE217" s="3012"/>
      <c r="AF217" s="3012"/>
      <c r="AG217" s="3012"/>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1897</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1925</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1923</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1917</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5"/>
      <c r="AC223" s="3055"/>
      <c r="AD223" s="3055"/>
      <c r="AE223" s="3055"/>
      <c r="AF223" s="3055"/>
      <c r="AG223" s="3055"/>
      <c r="AH223" s="1023"/>
      <c r="AI223" s="1023"/>
      <c r="AJ223" s="1023"/>
      <c r="AK223" s="1023"/>
    </row>
    <row r="224" spans="1:37" ht="13">
      <c r="A224" s="1015"/>
      <c r="B224" s="1382" t="s">
        <v>1922</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1924</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1918</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5"/>
      <c r="AC226" s="3055"/>
      <c r="AD226" s="3055"/>
      <c r="AE226" s="3055"/>
      <c r="AF226" s="3055"/>
      <c r="AG226" s="3055"/>
      <c r="AH226" s="1023"/>
      <c r="AI226" s="1023"/>
      <c r="AJ226" s="1023"/>
      <c r="AK226" s="1023"/>
    </row>
    <row r="227" spans="1:37">
      <c r="A227" s="1015"/>
      <c r="B227" s="1383" t="s">
        <v>1919</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1"/>
      <c r="AC227" s="3011"/>
      <c r="AD227" s="3011"/>
      <c r="AE227" s="3011"/>
      <c r="AF227" s="3011"/>
      <c r="AG227" s="3011"/>
      <c r="AH227" s="1023"/>
      <c r="AI227" s="1023"/>
      <c r="AJ227" s="1023"/>
      <c r="AK227" s="1023"/>
    </row>
    <row r="228" spans="1:37">
      <c r="A228" s="1015"/>
      <c r="B228" s="1383" t="s">
        <v>1920</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1">
        <f>IFERROR(AB226/AB227,0)</f>
        <v>0</v>
      </c>
      <c r="AC228" s="3021"/>
      <c r="AD228" s="3021"/>
      <c r="AE228" s="3021"/>
      <c r="AF228" s="3021"/>
      <c r="AG228" s="3021"/>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1921</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9">
        <f>MAX(AB223,AB228)</f>
        <v>0</v>
      </c>
      <c r="AC230" s="3049"/>
      <c r="AD230" s="3049"/>
      <c r="AE230" s="3049"/>
      <c r="AF230" s="3049"/>
      <c r="AG230" s="3049"/>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1910</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9">
        <f>AB217+AB230</f>
        <v>789888</v>
      </c>
      <c r="AC233" s="3019"/>
      <c r="AD233" s="3019"/>
      <c r="AE233" s="3019"/>
      <c r="AF233" s="3019"/>
      <c r="AG233" s="3019"/>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6">
        <v>0.05</v>
      </c>
      <c r="AC234" s="3196"/>
      <c r="AD234" s="3196"/>
      <c r="AE234" s="3196"/>
      <c r="AF234" s="3196"/>
      <c r="AG234" s="3196"/>
      <c r="AH234" s="1023"/>
      <c r="AI234" s="1023"/>
      <c r="AJ234" s="1023"/>
      <c r="AK234" s="1023"/>
    </row>
    <row r="235" spans="1:37">
      <c r="A235" s="1015"/>
      <c r="B235" s="997" t="s">
        <v>1911</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97">
        <f>AB233-(AB233*AB234)</f>
        <v>750393.6</v>
      </c>
      <c r="AC235" s="3197"/>
      <c r="AD235" s="3197"/>
      <c r="AE235" s="3197"/>
      <c r="AF235" s="3197"/>
      <c r="AG235" s="3197"/>
      <c r="AH235" s="1023"/>
      <c r="AI235" s="1023"/>
      <c r="AJ235" s="1023"/>
      <c r="AK235" s="1023"/>
    </row>
    <row r="236" spans="1:37">
      <c r="A236" s="1015"/>
      <c r="B236" s="997" t="s">
        <v>1912</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1913</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9">
        <f>AB235/AB241</f>
        <v>652516.17391304346</v>
      </c>
      <c r="AC237" s="3019"/>
      <c r="AD237" s="3019"/>
      <c r="AE237" s="3019"/>
      <c r="AF237" s="3019"/>
      <c r="AG237" s="3019"/>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1914</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0">
        <v>15</v>
      </c>
      <c r="AC239" s="3210"/>
      <c r="AD239" s="3210"/>
      <c r="AE239" s="3210"/>
      <c r="AF239" s="3210"/>
      <c r="AG239" s="3210"/>
      <c r="AH239" s="1023"/>
      <c r="AI239" s="1023"/>
      <c r="AJ239" s="1023"/>
      <c r="AK239" s="1023"/>
    </row>
    <row r="240" spans="1:37">
      <c r="A240" s="1015"/>
      <c r="B240" s="997" t="s">
        <v>1915</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9">
        <v>0.04</v>
      </c>
      <c r="AC240" s="3199"/>
      <c r="AD240" s="3199"/>
      <c r="AE240" s="3199"/>
      <c r="AF240" s="3199"/>
      <c r="AG240" s="3199"/>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0">
        <v>1.1499999999999999</v>
      </c>
      <c r="AC241" s="3200"/>
      <c r="AD241" s="3200"/>
      <c r="AE241" s="3200"/>
      <c r="AF241" s="3200"/>
      <c r="AG241" s="3200"/>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1916</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9">
        <f>PV(AB240/12,AB239*12,-AB237/12, ,0)</f>
        <v>7351255.2988206493</v>
      </c>
      <c r="AC243" s="3190"/>
      <c r="AD243" s="3190"/>
      <c r="AE243" s="3190"/>
      <c r="AF243" s="3190"/>
      <c r="AG243" s="3191"/>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1892</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1895</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1894</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1893</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3">
        <f>IFERROR(('Sources and Uses Budget'!D105/'Sources and Uses Budget'!B105),0)</f>
        <v>0</v>
      </c>
      <c r="AC249" s="3194"/>
      <c r="AD249" s="3194"/>
      <c r="AE249" s="3194"/>
      <c r="AF249" s="3194"/>
      <c r="AG249" s="3195"/>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1641</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27">
        <f>AD194*(1-AB249)</f>
        <v>21926811.298820648</v>
      </c>
      <c r="AH251" s="3027"/>
      <c r="AI251" s="3027"/>
      <c r="AJ251" s="3027"/>
      <c r="AK251" s="3027"/>
    </row>
    <row r="252" spans="1:39">
      <c r="A252" s="1044"/>
      <c r="B252" s="1048" t="s">
        <v>1642</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27">
        <f>'Sources and Uses Budget'!C105</f>
        <v>44795412</v>
      </c>
      <c r="AH252" s="3027"/>
      <c r="AI252" s="3027"/>
      <c r="AJ252" s="3027"/>
      <c r="AK252" s="3027"/>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5">
        <f>ROUNDDOWN(IF(AND(C274="Yes",AK72=10),((AG251*2)/AG252),AG251/AG252),2)</f>
        <v>0.48</v>
      </c>
      <c r="AH253" s="3185"/>
      <c r="AI253" s="3185"/>
      <c r="AJ253" s="3185"/>
      <c r="AK253" s="3185"/>
    </row>
    <row r="254" spans="1:39" ht="13">
      <c r="A254" s="1044"/>
      <c r="B254" s="1698" t="s">
        <v>2238</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1643</v>
      </c>
      <c r="AK256" s="3178">
        <f>IF(AG253=0,0,IF((AG253*100)&gt;8,8,(AG253*100)))</f>
        <v>8</v>
      </c>
      <c r="AL256" s="3178"/>
      <c r="AM256" s="3179"/>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1644</v>
      </c>
      <c r="B259" s="987" t="s">
        <v>1645</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1582</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44" t="s">
        <v>577</v>
      </c>
      <c r="D261" s="3044"/>
      <c r="E261" s="939"/>
      <c r="F261" s="2995" t="s">
        <v>2412</v>
      </c>
      <c r="G261" s="2996"/>
      <c r="H261" s="2996"/>
      <c r="I261" s="2996"/>
      <c r="J261" s="2996"/>
      <c r="K261" s="2996"/>
      <c r="L261" s="2996"/>
      <c r="M261" s="2996"/>
      <c r="N261" s="2996"/>
      <c r="O261" s="2996"/>
      <c r="P261" s="2996"/>
      <c r="Q261" s="2996"/>
      <c r="R261" s="2996"/>
      <c r="S261" s="2996"/>
      <c r="T261" s="2996"/>
      <c r="U261" s="2996"/>
      <c r="V261" s="2996"/>
      <c r="W261" s="2996"/>
      <c r="X261" s="2996"/>
      <c r="Y261" s="2996"/>
      <c r="Z261" s="2996"/>
      <c r="AA261" s="2996"/>
      <c r="AB261" s="2996"/>
      <c r="AC261" s="2996"/>
      <c r="AD261" s="2997"/>
      <c r="AE261" s="942"/>
      <c r="AF261" s="1065"/>
      <c r="AG261" s="3183" t="s">
        <v>1631</v>
      </c>
      <c r="AH261" s="3183"/>
      <c r="AI261" s="3183"/>
      <c r="AJ261" s="3183"/>
      <c r="AK261" s="1025"/>
      <c r="AL261" s="1025"/>
      <c r="AM261" s="1025"/>
      <c r="AN261" s="1060"/>
      <c r="AO261" s="942"/>
      <c r="AS261" s="21"/>
      <c r="AT261" s="21"/>
    </row>
    <row r="262" spans="1:81" ht="13.75" customHeight="1">
      <c r="A262" s="1059"/>
      <c r="B262" s="1064"/>
      <c r="C262" s="1066"/>
      <c r="D262" s="942"/>
      <c r="E262" s="939"/>
      <c r="F262" s="2998"/>
      <c r="G262" s="2999"/>
      <c r="H262" s="2999"/>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99"/>
      <c r="AD262" s="3000"/>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8"/>
      <c r="G263" s="2999"/>
      <c r="H263" s="2999"/>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99"/>
      <c r="AD263" s="3000"/>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184"/>
      <c r="D264" s="3184"/>
      <c r="E264" s="939"/>
      <c r="F264" s="3001"/>
      <c r="G264" s="3002"/>
      <c r="H264" s="3002"/>
      <c r="I264" s="3002"/>
      <c r="J264" s="3002"/>
      <c r="K264" s="3002"/>
      <c r="L264" s="3002"/>
      <c r="M264" s="3002"/>
      <c r="N264" s="3002"/>
      <c r="O264" s="3002"/>
      <c r="P264" s="3002"/>
      <c r="Q264" s="3002"/>
      <c r="R264" s="3002"/>
      <c r="S264" s="3002"/>
      <c r="T264" s="3002"/>
      <c r="U264" s="3002"/>
      <c r="V264" s="3002"/>
      <c r="W264" s="3002"/>
      <c r="X264" s="3002"/>
      <c r="Y264" s="3002"/>
      <c r="Z264" s="3002"/>
      <c r="AA264" s="3002"/>
      <c r="AB264" s="3002"/>
      <c r="AC264" s="3002"/>
      <c r="AD264" s="3003"/>
      <c r="AE264" s="942"/>
      <c r="AF264" s="1065"/>
      <c r="AG264" s="3183"/>
      <c r="AH264" s="3183"/>
      <c r="AI264" s="3183"/>
      <c r="AJ264" s="3183"/>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1647</v>
      </c>
      <c r="AK267" s="3178">
        <f>IF($C$261="yes",10,0)</f>
        <v>10</v>
      </c>
      <c r="AL267" s="3178"/>
      <c r="AM267" s="3179"/>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1648</v>
      </c>
      <c r="B270" s="987" t="s">
        <v>2378</v>
      </c>
      <c r="AH270" s="1033" t="s">
        <v>1561</v>
      </c>
    </row>
    <row r="271" spans="1:81" ht="15" customHeight="1">
      <c r="B271" s="931" t="s">
        <v>2377</v>
      </c>
    </row>
    <row r="272" spans="1:81" ht="15" customHeight="1">
      <c r="B272" s="931" t="s">
        <v>2379</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6" t="s">
        <v>1650</v>
      </c>
      <c r="B274" s="3156"/>
      <c r="C274" s="3044" t="s">
        <v>625</v>
      </c>
      <c r="D274" s="3044"/>
      <c r="E274" s="939"/>
      <c r="F274" s="3180" t="s">
        <v>1651</v>
      </c>
      <c r="G274" s="3181"/>
      <c r="H274" s="3181"/>
      <c r="I274" s="3181"/>
      <c r="J274" s="3181"/>
      <c r="K274" s="3181"/>
      <c r="L274" s="3181"/>
      <c r="M274" s="3181"/>
      <c r="N274" s="3181"/>
      <c r="O274" s="3181"/>
      <c r="P274" s="3181"/>
      <c r="Q274" s="3181"/>
      <c r="R274" s="3181"/>
      <c r="S274" s="3181"/>
      <c r="T274" s="3181"/>
      <c r="U274" s="3181"/>
      <c r="V274" s="3181"/>
      <c r="W274" s="3181"/>
      <c r="X274" s="3181"/>
      <c r="Y274" s="3181"/>
      <c r="Z274" s="3181"/>
      <c r="AA274" s="3181"/>
      <c r="AB274" s="3181"/>
      <c r="AC274" s="3181"/>
      <c r="AD274" s="3182"/>
      <c r="AE274" s="1077"/>
      <c r="AF274" s="942"/>
      <c r="AG274" s="985" t="s">
        <v>1652</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73"/>
      <c r="G275" s="3048"/>
      <c r="H275" s="3048"/>
      <c r="I275" s="3048"/>
      <c r="J275" s="3048"/>
      <c r="K275" s="3048"/>
      <c r="L275" s="3048"/>
      <c r="M275" s="3048"/>
      <c r="N275" s="3048"/>
      <c r="O275" s="3048"/>
      <c r="P275" s="3048"/>
      <c r="Q275" s="3048"/>
      <c r="R275" s="3048"/>
      <c r="S275" s="3048"/>
      <c r="T275" s="3048"/>
      <c r="U275" s="3048"/>
      <c r="V275" s="3048"/>
      <c r="W275" s="3048"/>
      <c r="X275" s="3048"/>
      <c r="Y275" s="3048"/>
      <c r="Z275" s="3048"/>
      <c r="AA275" s="3048"/>
      <c r="AB275" s="3048"/>
      <c r="AC275" s="3048"/>
      <c r="AD275" s="3174"/>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3"/>
      <c r="G276" s="3048"/>
      <c r="H276" s="3048"/>
      <c r="I276" s="3048"/>
      <c r="J276" s="3048"/>
      <c r="K276" s="3048"/>
      <c r="L276" s="3048"/>
      <c r="M276" s="3048"/>
      <c r="N276" s="3048"/>
      <c r="O276" s="3048"/>
      <c r="P276" s="3048"/>
      <c r="Q276" s="3048"/>
      <c r="R276" s="3048"/>
      <c r="S276" s="3048"/>
      <c r="T276" s="3048"/>
      <c r="U276" s="3048"/>
      <c r="V276" s="3048"/>
      <c r="W276" s="3048"/>
      <c r="X276" s="3048"/>
      <c r="Y276" s="3048"/>
      <c r="Z276" s="3048"/>
      <c r="AA276" s="3048"/>
      <c r="AB276" s="3048"/>
      <c r="AC276" s="3048"/>
      <c r="AD276" s="3174"/>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3" t="s">
        <v>1653</v>
      </c>
      <c r="G277" s="3048"/>
      <c r="H277" s="3048"/>
      <c r="I277" s="3048"/>
      <c r="J277" s="3048"/>
      <c r="K277" s="3048"/>
      <c r="L277" s="3048"/>
      <c r="M277" s="3048"/>
      <c r="N277" s="3048"/>
      <c r="O277" s="3048"/>
      <c r="P277" s="3048"/>
      <c r="Q277" s="3048"/>
      <c r="R277" s="3048"/>
      <c r="S277" s="3048"/>
      <c r="T277" s="3048"/>
      <c r="U277" s="3048"/>
      <c r="V277" s="3048"/>
      <c r="W277" s="3048"/>
      <c r="X277" s="3048"/>
      <c r="Y277" s="3048"/>
      <c r="Z277" s="3048"/>
      <c r="AA277" s="3048"/>
      <c r="AB277" s="3048"/>
      <c r="AC277" s="3048"/>
      <c r="AD277" s="3174"/>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73"/>
      <c r="G278" s="3048"/>
      <c r="H278" s="3048"/>
      <c r="I278" s="3048"/>
      <c r="J278" s="3048"/>
      <c r="K278" s="3048"/>
      <c r="L278" s="3048"/>
      <c r="M278" s="3048"/>
      <c r="N278" s="3048"/>
      <c r="O278" s="3048"/>
      <c r="P278" s="3048"/>
      <c r="Q278" s="3048"/>
      <c r="R278" s="3048"/>
      <c r="S278" s="3048"/>
      <c r="T278" s="3048"/>
      <c r="U278" s="3048"/>
      <c r="V278" s="3048"/>
      <c r="W278" s="3048"/>
      <c r="X278" s="3048"/>
      <c r="Y278" s="3048"/>
      <c r="Z278" s="3048"/>
      <c r="AA278" s="3048"/>
      <c r="AB278" s="3048"/>
      <c r="AC278" s="3048"/>
      <c r="AD278" s="3174"/>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3" t="s">
        <v>1654</v>
      </c>
      <c r="G279" s="3048"/>
      <c r="H279" s="3048"/>
      <c r="I279" s="3048"/>
      <c r="J279" s="3048"/>
      <c r="K279" s="3048"/>
      <c r="L279" s="3048"/>
      <c r="M279" s="3048"/>
      <c r="N279" s="3048"/>
      <c r="O279" s="3048"/>
      <c r="P279" s="3048"/>
      <c r="Q279" s="3048"/>
      <c r="R279" s="3048"/>
      <c r="S279" s="3048"/>
      <c r="T279" s="3048"/>
      <c r="U279" s="3048"/>
      <c r="V279" s="3048"/>
      <c r="W279" s="3048"/>
      <c r="X279" s="3048"/>
      <c r="Y279" s="3048"/>
      <c r="Z279" s="3048"/>
      <c r="AA279" s="3048"/>
      <c r="AB279" s="3048"/>
      <c r="AC279" s="3048"/>
      <c r="AD279" s="3174"/>
      <c r="AE279" s="1077"/>
      <c r="AF279" s="943"/>
      <c r="AG279" s="943"/>
      <c r="AH279" s="943"/>
      <c r="AI279" s="943"/>
      <c r="AJ279" s="942"/>
      <c r="AK279" s="1025"/>
      <c r="AL279" s="1025"/>
      <c r="AM279" s="1025"/>
      <c r="AN279" s="110"/>
      <c r="AO279" s="51"/>
      <c r="AP279" s="1078">
        <f>MAX(AP275,AP276,AP277,AP278)</f>
        <v>9</v>
      </c>
      <c r="AQ279" s="967" t="s">
        <v>1584</v>
      </c>
      <c r="AR279" s="21"/>
      <c r="AS279" s="1074"/>
      <c r="AT279" s="1074"/>
      <c r="AU279" s="1074"/>
      <c r="AV279" s="1076"/>
      <c r="AW279" s="1076"/>
      <c r="AX279" s="112"/>
      <c r="AY279" s="112"/>
      <c r="AZ279" s="112"/>
      <c r="BA279" s="112"/>
    </row>
    <row r="280" spans="1:53" ht="15" customHeight="1">
      <c r="A280" s="1059"/>
      <c r="B280" s="943"/>
      <c r="C280" s="943"/>
      <c r="D280" s="943"/>
      <c r="E280" s="943"/>
      <c r="F280" s="3173"/>
      <c r="G280" s="3048"/>
      <c r="H280" s="3048"/>
      <c r="I280" s="3048"/>
      <c r="J280" s="3048"/>
      <c r="K280" s="3048"/>
      <c r="L280" s="3048"/>
      <c r="M280" s="3048"/>
      <c r="N280" s="3048"/>
      <c r="O280" s="3048"/>
      <c r="P280" s="3048"/>
      <c r="Q280" s="3048"/>
      <c r="R280" s="3048"/>
      <c r="S280" s="3048"/>
      <c r="T280" s="3048"/>
      <c r="U280" s="3048"/>
      <c r="V280" s="3048"/>
      <c r="W280" s="3048"/>
      <c r="X280" s="3048"/>
      <c r="Y280" s="3048"/>
      <c r="Z280" s="3048"/>
      <c r="AA280" s="3048"/>
      <c r="AB280" s="3048"/>
      <c r="AC280" s="3048"/>
      <c r="AD280" s="3174"/>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3" t="s">
        <v>1655</v>
      </c>
      <c r="G281" s="3048"/>
      <c r="H281" s="3048"/>
      <c r="I281" s="3048"/>
      <c r="J281" s="3048"/>
      <c r="K281" s="3048"/>
      <c r="L281" s="3048"/>
      <c r="M281" s="3048"/>
      <c r="N281" s="3048"/>
      <c r="O281" s="3048"/>
      <c r="P281" s="3048"/>
      <c r="Q281" s="3048"/>
      <c r="R281" s="3048"/>
      <c r="S281" s="3048"/>
      <c r="T281" s="3048"/>
      <c r="U281" s="3048"/>
      <c r="V281" s="3048"/>
      <c r="W281" s="3048"/>
      <c r="X281" s="3048"/>
      <c r="Y281" s="3048"/>
      <c r="Z281" s="3048"/>
      <c r="AA281" s="3048"/>
      <c r="AB281" s="3048"/>
      <c r="AC281" s="3048"/>
      <c r="AD281" s="3174"/>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5"/>
      <c r="G282" s="3176"/>
      <c r="H282" s="3176"/>
      <c r="I282" s="3176"/>
      <c r="J282" s="3176"/>
      <c r="K282" s="3176"/>
      <c r="L282" s="3176"/>
      <c r="M282" s="3176"/>
      <c r="N282" s="3176"/>
      <c r="O282" s="3176"/>
      <c r="P282" s="3176"/>
      <c r="Q282" s="3176"/>
      <c r="R282" s="3176"/>
      <c r="S282" s="3176"/>
      <c r="T282" s="3176"/>
      <c r="U282" s="3176"/>
      <c r="V282" s="3176"/>
      <c r="W282" s="3176"/>
      <c r="X282" s="3176"/>
      <c r="Y282" s="3176"/>
      <c r="Z282" s="3176"/>
      <c r="AA282" s="3176"/>
      <c r="AB282" s="3176"/>
      <c r="AC282" s="3176"/>
      <c r="AD282" s="3177"/>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6" t="s">
        <v>1656</v>
      </c>
      <c r="B284" s="3156"/>
      <c r="C284" s="3044" t="s">
        <v>625</v>
      </c>
      <c r="D284" s="3044"/>
      <c r="E284" s="939"/>
      <c r="F284" s="1081" t="s">
        <v>1657</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1658</v>
      </c>
      <c r="AH284" s="943"/>
      <c r="AI284" s="943"/>
      <c r="AJ284" s="942"/>
      <c r="AK284" s="1025"/>
      <c r="AL284" s="1025"/>
      <c r="AM284" s="1025"/>
      <c r="AN284" s="1084"/>
      <c r="AO284" s="51"/>
      <c r="AR284" s="21"/>
    </row>
    <row r="285" spans="1:53">
      <c r="A285" s="1059"/>
      <c r="B285" s="943"/>
      <c r="C285" s="942"/>
      <c r="D285" s="943"/>
      <c r="E285" s="942"/>
      <c r="F285" s="3173" t="s">
        <v>1659</v>
      </c>
      <c r="G285" s="3048"/>
      <c r="H285" s="3048"/>
      <c r="I285" s="3048"/>
      <c r="J285" s="3048"/>
      <c r="K285" s="3048"/>
      <c r="L285" s="3048"/>
      <c r="M285" s="3048"/>
      <c r="N285" s="3048"/>
      <c r="O285" s="3048"/>
      <c r="P285" s="3048"/>
      <c r="Q285" s="3048"/>
      <c r="R285" s="3048"/>
      <c r="S285" s="3048"/>
      <c r="T285" s="3048"/>
      <c r="U285" s="3048"/>
      <c r="V285" s="3048"/>
      <c r="W285" s="3048"/>
      <c r="X285" s="3048"/>
      <c r="Y285" s="3048"/>
      <c r="Z285" s="3048"/>
      <c r="AA285" s="3048"/>
      <c r="AB285" s="3048"/>
      <c r="AC285" s="3048"/>
      <c r="AD285" s="3174"/>
      <c r="AE285" s="943"/>
      <c r="AF285" s="943"/>
      <c r="AG285" s="943"/>
      <c r="AH285" s="943"/>
      <c r="AI285" s="943"/>
      <c r="AJ285" s="942"/>
      <c r="AK285" s="1025"/>
      <c r="AL285" s="1025"/>
      <c r="AM285" s="1025"/>
      <c r="AR285" s="1085"/>
    </row>
    <row r="286" spans="1:53" ht="15" customHeight="1">
      <c r="A286" s="1059"/>
      <c r="B286" s="943"/>
      <c r="C286" s="942"/>
      <c r="D286" s="943"/>
      <c r="E286" s="942"/>
      <c r="F286" s="3173"/>
      <c r="G286" s="3048"/>
      <c r="H286" s="3048"/>
      <c r="I286" s="3048"/>
      <c r="J286" s="3048"/>
      <c r="K286" s="3048"/>
      <c r="L286" s="3048"/>
      <c r="M286" s="3048"/>
      <c r="N286" s="3048"/>
      <c r="O286" s="3048"/>
      <c r="P286" s="3048"/>
      <c r="Q286" s="3048"/>
      <c r="R286" s="3048"/>
      <c r="S286" s="3048"/>
      <c r="T286" s="3048"/>
      <c r="U286" s="3048"/>
      <c r="V286" s="3048"/>
      <c r="W286" s="3048"/>
      <c r="X286" s="3048"/>
      <c r="Y286" s="3048"/>
      <c r="Z286" s="3048"/>
      <c r="AA286" s="3048"/>
      <c r="AB286" s="3048"/>
      <c r="AC286" s="3048"/>
      <c r="AD286" s="3174"/>
      <c r="AE286" s="943"/>
      <c r="AF286" s="943"/>
      <c r="AG286" s="943"/>
      <c r="AH286" s="943"/>
      <c r="AI286" s="943"/>
      <c r="AJ286" s="942"/>
      <c r="AK286" s="1025"/>
      <c r="AL286" s="1025"/>
      <c r="AM286" s="1025"/>
      <c r="AR286" s="1085"/>
    </row>
    <row r="287" spans="1:53">
      <c r="A287" s="1059"/>
      <c r="B287" s="943"/>
      <c r="C287" s="942"/>
      <c r="D287" s="943"/>
      <c r="E287" s="942"/>
      <c r="F287" s="3173" t="s">
        <v>1654</v>
      </c>
      <c r="G287" s="3048"/>
      <c r="H287" s="3048"/>
      <c r="I287" s="3048"/>
      <c r="J287" s="3048"/>
      <c r="K287" s="3048"/>
      <c r="L287" s="3048"/>
      <c r="M287" s="3048"/>
      <c r="N287" s="3048"/>
      <c r="O287" s="3048"/>
      <c r="P287" s="3048"/>
      <c r="Q287" s="3048"/>
      <c r="R287" s="3048"/>
      <c r="S287" s="3048"/>
      <c r="T287" s="3048"/>
      <c r="U287" s="3048"/>
      <c r="V287" s="3048"/>
      <c r="W287" s="3048"/>
      <c r="X287" s="3048"/>
      <c r="Y287" s="3048"/>
      <c r="Z287" s="3048"/>
      <c r="AA287" s="3048"/>
      <c r="AB287" s="3048"/>
      <c r="AC287" s="3048"/>
      <c r="AD287" s="3174"/>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3"/>
      <c r="G288" s="3048"/>
      <c r="H288" s="3048"/>
      <c r="I288" s="3048"/>
      <c r="J288" s="3048"/>
      <c r="K288" s="3048"/>
      <c r="L288" s="3048"/>
      <c r="M288" s="3048"/>
      <c r="N288" s="3048"/>
      <c r="O288" s="3048"/>
      <c r="P288" s="3048"/>
      <c r="Q288" s="3048"/>
      <c r="R288" s="3048"/>
      <c r="S288" s="3048"/>
      <c r="T288" s="3048"/>
      <c r="U288" s="3048"/>
      <c r="V288" s="3048"/>
      <c r="W288" s="3048"/>
      <c r="X288" s="3048"/>
      <c r="Y288" s="3048"/>
      <c r="Z288" s="3048"/>
      <c r="AA288" s="3048"/>
      <c r="AB288" s="3048"/>
      <c r="AC288" s="3048"/>
      <c r="AD288" s="3174"/>
      <c r="AE288" s="943"/>
      <c r="AF288" s="943"/>
      <c r="AG288" s="943"/>
      <c r="AH288" s="943"/>
      <c r="AI288" s="943"/>
      <c r="AJ288" s="942"/>
      <c r="AK288" s="1025"/>
      <c r="AL288" s="1025"/>
      <c r="AM288" s="1025"/>
      <c r="AP288" s="1078"/>
      <c r="AQ288" s="967"/>
      <c r="AR288" s="1085"/>
    </row>
    <row r="289" spans="1:60">
      <c r="A289" s="1059"/>
      <c r="B289" s="943"/>
      <c r="C289" s="942"/>
      <c r="D289" s="943"/>
      <c r="E289" s="942"/>
      <c r="F289" s="3173" t="s">
        <v>1660</v>
      </c>
      <c r="G289" s="3048"/>
      <c r="H289" s="3048"/>
      <c r="I289" s="3048"/>
      <c r="J289" s="3048"/>
      <c r="K289" s="3048"/>
      <c r="L289" s="3048"/>
      <c r="M289" s="3048"/>
      <c r="N289" s="3048"/>
      <c r="O289" s="3048"/>
      <c r="P289" s="3048"/>
      <c r="Q289" s="3048"/>
      <c r="R289" s="3048"/>
      <c r="S289" s="3048"/>
      <c r="T289" s="3048"/>
      <c r="U289" s="3048"/>
      <c r="V289" s="3048"/>
      <c r="W289" s="3048"/>
      <c r="X289" s="3048"/>
      <c r="Y289" s="3048"/>
      <c r="Z289" s="3048"/>
      <c r="AA289" s="3048"/>
      <c r="AB289" s="3048"/>
      <c r="AC289" s="3048"/>
      <c r="AD289" s="3174"/>
      <c r="AE289" s="943"/>
      <c r="AF289" s="943"/>
      <c r="AG289" s="943"/>
      <c r="AH289" s="943"/>
      <c r="AI289" s="943"/>
      <c r="AJ289" s="942"/>
      <c r="AK289" s="1025"/>
      <c r="AL289" s="1025"/>
      <c r="AM289" s="1025"/>
      <c r="AP289" s="1078"/>
      <c r="AQ289" s="967"/>
      <c r="AR289" s="1085"/>
    </row>
    <row r="290" spans="1:60">
      <c r="A290" s="1059"/>
      <c r="B290" s="943"/>
      <c r="C290" s="942"/>
      <c r="D290" s="943"/>
      <c r="E290" s="942"/>
      <c r="F290" s="3175"/>
      <c r="G290" s="3176"/>
      <c r="H290" s="3176"/>
      <c r="I290" s="3176"/>
      <c r="J290" s="3176"/>
      <c r="K290" s="3176"/>
      <c r="L290" s="3176"/>
      <c r="M290" s="3176"/>
      <c r="N290" s="3176"/>
      <c r="O290" s="3176"/>
      <c r="P290" s="3176"/>
      <c r="Q290" s="3176"/>
      <c r="R290" s="3176"/>
      <c r="S290" s="3176"/>
      <c r="T290" s="3176"/>
      <c r="U290" s="3176"/>
      <c r="V290" s="3176"/>
      <c r="W290" s="3176"/>
      <c r="X290" s="3176"/>
      <c r="Y290" s="3176"/>
      <c r="Z290" s="3176"/>
      <c r="AA290" s="3176"/>
      <c r="AB290" s="3176"/>
      <c r="AC290" s="3176"/>
      <c r="AD290" s="3177"/>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56" t="s">
        <v>1661</v>
      </c>
      <c r="B292" s="3156"/>
      <c r="C292" s="3044" t="s">
        <v>625</v>
      </c>
      <c r="D292" s="3044"/>
      <c r="E292" s="939"/>
      <c r="F292" s="1081" t="s">
        <v>1657</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1658</v>
      </c>
      <c r="AH292" s="943"/>
      <c r="AI292" s="943"/>
      <c r="AJ292" s="942"/>
      <c r="AK292" s="1025"/>
      <c r="AL292" s="1025"/>
      <c r="AM292" s="1025"/>
      <c r="AN292" s="110"/>
      <c r="AO292" s="51"/>
      <c r="AR292" s="21"/>
    </row>
    <row r="293" spans="1:60" ht="13">
      <c r="A293" s="1795"/>
      <c r="B293" s="1795"/>
      <c r="C293" s="1791"/>
      <c r="D293" s="1791"/>
      <c r="E293" s="939"/>
      <c r="F293" s="3173" t="s">
        <v>1662</v>
      </c>
      <c r="G293" s="3048"/>
      <c r="H293" s="3048"/>
      <c r="I293" s="3048"/>
      <c r="J293" s="3048"/>
      <c r="K293" s="3048"/>
      <c r="L293" s="3048"/>
      <c r="M293" s="3048"/>
      <c r="N293" s="3048"/>
      <c r="O293" s="3048"/>
      <c r="P293" s="3048"/>
      <c r="Q293" s="3048"/>
      <c r="R293" s="3048"/>
      <c r="S293" s="3048"/>
      <c r="T293" s="3048"/>
      <c r="U293" s="3048"/>
      <c r="V293" s="3048"/>
      <c r="W293" s="3048"/>
      <c r="X293" s="3048"/>
      <c r="Y293" s="3048"/>
      <c r="Z293" s="3048"/>
      <c r="AA293" s="3048"/>
      <c r="AB293" s="3048"/>
      <c r="AC293" s="3048"/>
      <c r="AD293" s="3174"/>
      <c r="AE293" s="943"/>
      <c r="AF293" s="943"/>
      <c r="AG293" s="1011"/>
      <c r="AH293" s="943"/>
      <c r="AI293" s="943"/>
      <c r="AJ293" s="942"/>
      <c r="AK293" s="1025"/>
      <c r="AL293" s="1025"/>
      <c r="AM293" s="1025"/>
      <c r="AN293" s="110"/>
      <c r="AO293" s="51"/>
      <c r="AP293" s="949" t="s">
        <v>1382</v>
      </c>
      <c r="AR293" s="21"/>
    </row>
    <row r="294" spans="1:60" s="21" customFormat="1">
      <c r="F294" s="3173"/>
      <c r="G294" s="3048"/>
      <c r="H294" s="3048"/>
      <c r="I294" s="3048"/>
      <c r="J294" s="3048"/>
      <c r="K294" s="3048"/>
      <c r="L294" s="3048"/>
      <c r="M294" s="3048"/>
      <c r="N294" s="3048"/>
      <c r="O294" s="3048"/>
      <c r="P294" s="3048"/>
      <c r="Q294" s="3048"/>
      <c r="R294" s="3048"/>
      <c r="S294" s="3048"/>
      <c r="T294" s="3048"/>
      <c r="U294" s="3048"/>
      <c r="V294" s="3048"/>
      <c r="W294" s="3048"/>
      <c r="X294" s="3048"/>
      <c r="Y294" s="3048"/>
      <c r="Z294" s="3048"/>
      <c r="AA294" s="3048"/>
      <c r="AB294" s="3048"/>
      <c r="AC294" s="3048"/>
      <c r="AD294" s="3174"/>
      <c r="AE294" s="943"/>
      <c r="AF294" s="943"/>
      <c r="AH294" s="943"/>
      <c r="AI294" s="943"/>
      <c r="AJ294" s="1088"/>
      <c r="AK294" s="1059"/>
      <c r="AL294" s="1059"/>
      <c r="AM294" s="1059"/>
      <c r="AN294" s="1089"/>
      <c r="AP294" s="1090" t="s">
        <v>2226</v>
      </c>
      <c r="BD294" s="1091"/>
      <c r="BE294" s="1091"/>
      <c r="BF294" s="1091"/>
      <c r="BG294" s="1091"/>
      <c r="BH294" s="1091"/>
    </row>
    <row r="295" spans="1:60" ht="13">
      <c r="A295" s="1059"/>
      <c r="B295" s="943"/>
      <c r="C295" s="1791"/>
      <c r="D295" s="1791"/>
      <c r="E295" s="939"/>
      <c r="F295" s="1093" t="s">
        <v>1663</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2228</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2381</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3" t="s">
        <v>1382</v>
      </c>
      <c r="G298" s="3164"/>
      <c r="H298" s="3164"/>
      <c r="I298" s="3164"/>
      <c r="J298" s="3164"/>
      <c r="K298" s="3164"/>
      <c r="L298" s="3164"/>
      <c r="M298" s="3164"/>
      <c r="N298" s="3164"/>
      <c r="O298" s="3164"/>
      <c r="P298" s="3164"/>
      <c r="Q298" s="3164"/>
      <c r="R298" s="3164"/>
      <c r="S298" s="3164"/>
      <c r="T298" s="3164"/>
      <c r="U298" s="3164"/>
      <c r="V298" s="3164"/>
      <c r="W298" s="3164"/>
      <c r="X298" s="3164"/>
      <c r="Y298" s="3164"/>
      <c r="Z298" s="3164"/>
      <c r="AA298" s="3164"/>
      <c r="AB298" s="3164"/>
      <c r="AC298" s="3164"/>
      <c r="AD298" s="3165"/>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63"/>
      <c r="G299" s="3164"/>
      <c r="H299" s="3164"/>
      <c r="I299" s="3164"/>
      <c r="J299" s="3164"/>
      <c r="K299" s="3164"/>
      <c r="L299" s="3164"/>
      <c r="M299" s="3164"/>
      <c r="N299" s="3164"/>
      <c r="O299" s="3164"/>
      <c r="P299" s="3164"/>
      <c r="Q299" s="3164"/>
      <c r="R299" s="3164"/>
      <c r="S299" s="3164"/>
      <c r="T299" s="3164"/>
      <c r="U299" s="3164"/>
      <c r="V299" s="3164"/>
      <c r="W299" s="3164"/>
      <c r="X299" s="3164"/>
      <c r="Y299" s="3164"/>
      <c r="Z299" s="3164"/>
      <c r="AA299" s="3164"/>
      <c r="AB299" s="3164"/>
      <c r="AC299" s="3164"/>
      <c r="AD299" s="3165"/>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63"/>
      <c r="G300" s="3164"/>
      <c r="H300" s="3164"/>
      <c r="I300" s="3164"/>
      <c r="J300" s="3164"/>
      <c r="K300" s="3164"/>
      <c r="L300" s="3164"/>
      <c r="M300" s="3164"/>
      <c r="N300" s="3164"/>
      <c r="O300" s="3164"/>
      <c r="P300" s="3164"/>
      <c r="Q300" s="3164"/>
      <c r="R300" s="3164"/>
      <c r="S300" s="3164"/>
      <c r="T300" s="3164"/>
      <c r="U300" s="3164"/>
      <c r="V300" s="3164"/>
      <c r="W300" s="3164"/>
      <c r="X300" s="3164"/>
      <c r="Y300" s="3164"/>
      <c r="Z300" s="3164"/>
      <c r="AA300" s="3164"/>
      <c r="AB300" s="3164"/>
      <c r="AC300" s="3164"/>
      <c r="AD300" s="3165"/>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63"/>
      <c r="G301" s="3164"/>
      <c r="H301" s="3164"/>
      <c r="I301" s="3164"/>
      <c r="J301" s="3164"/>
      <c r="K301" s="3164"/>
      <c r="L301" s="3164"/>
      <c r="M301" s="3164"/>
      <c r="N301" s="3164"/>
      <c r="O301" s="3164"/>
      <c r="P301" s="3164"/>
      <c r="Q301" s="3164"/>
      <c r="R301" s="3164"/>
      <c r="S301" s="3164"/>
      <c r="T301" s="3164"/>
      <c r="U301" s="3164"/>
      <c r="V301" s="3164"/>
      <c r="W301" s="3164"/>
      <c r="X301" s="3164"/>
      <c r="Y301" s="3164"/>
      <c r="Z301" s="3164"/>
      <c r="AA301" s="3164"/>
      <c r="AB301" s="3164"/>
      <c r="AC301" s="3164"/>
      <c r="AD301" s="3165"/>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66"/>
      <c r="G302" s="3167"/>
      <c r="H302" s="3167"/>
      <c r="I302" s="3167"/>
      <c r="J302" s="3167"/>
      <c r="K302" s="3167"/>
      <c r="L302" s="3167"/>
      <c r="M302" s="3167"/>
      <c r="N302" s="3167"/>
      <c r="O302" s="3167"/>
      <c r="P302" s="3167"/>
      <c r="Q302" s="3167"/>
      <c r="R302" s="3167"/>
      <c r="S302" s="3167"/>
      <c r="T302" s="3167"/>
      <c r="U302" s="3167"/>
      <c r="V302" s="3167"/>
      <c r="W302" s="3167"/>
      <c r="X302" s="3167"/>
      <c r="Y302" s="3167"/>
      <c r="Z302" s="3167"/>
      <c r="AA302" s="3167"/>
      <c r="AB302" s="3167"/>
      <c r="AC302" s="3167"/>
      <c r="AD302" s="3168"/>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2227</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91"/>
      <c r="D306" s="1791"/>
      <c r="E306" s="939"/>
      <c r="F306" s="1097"/>
      <c r="G306" s="968" t="s">
        <v>724</v>
      </c>
      <c r="H306" s="968"/>
      <c r="I306" s="3169" t="s">
        <v>1382</v>
      </c>
      <c r="J306" s="3169"/>
      <c r="K306" s="3169"/>
      <c r="L306" s="3169"/>
      <c r="M306" s="3169"/>
      <c r="N306" s="3169"/>
      <c r="O306" s="3169"/>
      <c r="P306" s="3169"/>
      <c r="Q306" s="3169"/>
      <c r="R306" s="3169"/>
      <c r="S306" s="3169"/>
      <c r="T306" s="3169"/>
      <c r="U306" s="3169"/>
      <c r="V306" s="3169"/>
      <c r="W306" s="3169"/>
      <c r="X306" s="3169"/>
      <c r="Y306" s="3169"/>
      <c r="Z306" s="3169"/>
      <c r="AA306" s="3169"/>
      <c r="AB306" s="3169"/>
      <c r="AC306" s="3169"/>
      <c r="AD306" s="3170"/>
      <c r="AE306" s="943"/>
      <c r="AF306" s="943"/>
      <c r="AG306" s="985"/>
      <c r="AH306" s="943"/>
      <c r="AI306" s="943"/>
      <c r="AJ306" s="942"/>
      <c r="AK306" s="1025"/>
      <c r="AL306" s="1025"/>
      <c r="AM306" s="1025"/>
      <c r="AN306" s="110"/>
      <c r="AO306" s="51"/>
      <c r="AP306" s="949" t="s">
        <v>1986</v>
      </c>
      <c r="AR306" s="21"/>
    </row>
    <row r="307" spans="1:60" ht="13">
      <c r="A307" s="1059"/>
      <c r="B307" s="943"/>
      <c r="C307" s="1791"/>
      <c r="D307" s="1791"/>
      <c r="E307" s="939"/>
      <c r="F307" s="1097"/>
      <c r="G307" s="968"/>
      <c r="H307" s="968"/>
      <c r="I307" s="3169"/>
      <c r="J307" s="3169"/>
      <c r="K307" s="3169"/>
      <c r="L307" s="3169"/>
      <c r="M307" s="3169"/>
      <c r="N307" s="3169"/>
      <c r="O307" s="3169"/>
      <c r="P307" s="3169"/>
      <c r="Q307" s="3169"/>
      <c r="R307" s="3169"/>
      <c r="S307" s="3169"/>
      <c r="T307" s="3169"/>
      <c r="U307" s="3169"/>
      <c r="V307" s="3169"/>
      <c r="W307" s="3169"/>
      <c r="X307" s="3169"/>
      <c r="Y307" s="3169"/>
      <c r="Z307" s="3169"/>
      <c r="AA307" s="3169"/>
      <c r="AB307" s="3169"/>
      <c r="AC307" s="3169"/>
      <c r="AD307" s="3170"/>
      <c r="AE307" s="943"/>
      <c r="AF307" s="943"/>
      <c r="AG307" s="985"/>
      <c r="AH307" s="943"/>
      <c r="AI307" s="943"/>
      <c r="AJ307" s="942"/>
      <c r="AK307" s="1025"/>
      <c r="AL307" s="1025"/>
      <c r="AM307" s="1025"/>
      <c r="AN307" s="110"/>
      <c r="AO307" s="51"/>
      <c r="AP307" s="949" t="s">
        <v>2229</v>
      </c>
      <c r="AR307" s="21"/>
    </row>
    <row r="308" spans="1:60" ht="13">
      <c r="A308" s="1059"/>
      <c r="B308" s="943"/>
      <c r="C308" s="1092"/>
      <c r="D308" s="1092"/>
      <c r="E308" s="939"/>
      <c r="F308" s="1097"/>
      <c r="G308" s="968"/>
      <c r="H308" s="968"/>
      <c r="I308" s="3169"/>
      <c r="J308" s="3169"/>
      <c r="K308" s="3169"/>
      <c r="L308" s="3169"/>
      <c r="M308" s="3169"/>
      <c r="N308" s="3169"/>
      <c r="O308" s="3169"/>
      <c r="P308" s="3169"/>
      <c r="Q308" s="3169"/>
      <c r="R308" s="3169"/>
      <c r="S308" s="3169"/>
      <c r="T308" s="3169"/>
      <c r="U308" s="3169"/>
      <c r="V308" s="3169"/>
      <c r="W308" s="3169"/>
      <c r="X308" s="3169"/>
      <c r="Y308" s="3169"/>
      <c r="Z308" s="3169"/>
      <c r="AA308" s="3169"/>
      <c r="AB308" s="3169"/>
      <c r="AC308" s="3169"/>
      <c r="AD308" s="3170"/>
      <c r="AE308" s="943"/>
      <c r="AF308" s="943"/>
      <c r="AG308" s="985"/>
      <c r="AH308" s="943"/>
      <c r="AI308" s="943"/>
      <c r="AJ308" s="942"/>
      <c r="AK308" s="1025"/>
      <c r="AL308" s="1025"/>
      <c r="AM308" s="1025"/>
      <c r="AN308" s="110"/>
      <c r="AO308" s="51"/>
      <c r="AP308" s="949" t="s">
        <v>2231</v>
      </c>
      <c r="AR308" s="21"/>
    </row>
    <row r="309" spans="1:60" ht="13">
      <c r="A309" s="1059"/>
      <c r="B309" s="943"/>
      <c r="C309" s="1092"/>
      <c r="D309" s="1092"/>
      <c r="E309" s="939"/>
      <c r="F309" s="1095"/>
      <c r="G309" s="943"/>
      <c r="H309" s="943"/>
      <c r="I309" s="3171"/>
      <c r="J309" s="3171"/>
      <c r="K309" s="3171"/>
      <c r="L309" s="3171"/>
      <c r="M309" s="3171"/>
      <c r="N309" s="3171"/>
      <c r="O309" s="3171"/>
      <c r="P309" s="3171"/>
      <c r="Q309" s="3171"/>
      <c r="R309" s="3171"/>
      <c r="S309" s="3171"/>
      <c r="T309" s="3171"/>
      <c r="U309" s="3171"/>
      <c r="V309" s="3171"/>
      <c r="W309" s="3171"/>
      <c r="X309" s="3171"/>
      <c r="Y309" s="3171"/>
      <c r="Z309" s="3171"/>
      <c r="AA309" s="3171"/>
      <c r="AB309" s="3171"/>
      <c r="AC309" s="3171"/>
      <c r="AD309" s="3172"/>
      <c r="AE309" s="943"/>
      <c r="AF309" s="943"/>
      <c r="AG309" s="985"/>
      <c r="AH309" s="943"/>
      <c r="AI309" s="943"/>
      <c r="AJ309" s="942"/>
      <c r="AK309" s="1025"/>
      <c r="AL309" s="1025"/>
      <c r="AM309" s="1025"/>
      <c r="AN309" s="110"/>
      <c r="AO309" s="51"/>
      <c r="AP309" s="949" t="s">
        <v>2230</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541</v>
      </c>
      <c r="H311" s="943"/>
      <c r="I311" s="3169" t="s">
        <v>1382</v>
      </c>
      <c r="J311" s="3169"/>
      <c r="K311" s="3169"/>
      <c r="L311" s="3169"/>
      <c r="M311" s="3169"/>
      <c r="N311" s="3169"/>
      <c r="O311" s="3169"/>
      <c r="P311" s="3169"/>
      <c r="Q311" s="3169"/>
      <c r="R311" s="3169"/>
      <c r="S311" s="3169"/>
      <c r="T311" s="3169"/>
      <c r="U311" s="3169"/>
      <c r="V311" s="3169"/>
      <c r="W311" s="3169"/>
      <c r="X311" s="3169"/>
      <c r="Y311" s="3169"/>
      <c r="Z311" s="3169"/>
      <c r="AA311" s="3169"/>
      <c r="AB311" s="3169"/>
      <c r="AC311" s="3169"/>
      <c r="AD311" s="3170"/>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69"/>
      <c r="J312" s="3169"/>
      <c r="K312" s="3169"/>
      <c r="L312" s="3169"/>
      <c r="M312" s="3169"/>
      <c r="N312" s="3169"/>
      <c r="O312" s="3169"/>
      <c r="P312" s="3169"/>
      <c r="Q312" s="3169"/>
      <c r="R312" s="3169"/>
      <c r="S312" s="3169"/>
      <c r="T312" s="3169"/>
      <c r="U312" s="3169"/>
      <c r="V312" s="3169"/>
      <c r="W312" s="3169"/>
      <c r="X312" s="3169"/>
      <c r="Y312" s="3169"/>
      <c r="Z312" s="3169"/>
      <c r="AA312" s="3169"/>
      <c r="AB312" s="3169"/>
      <c r="AC312" s="3169"/>
      <c r="AD312" s="3170"/>
      <c r="AE312" s="943"/>
      <c r="AF312" s="943"/>
      <c r="AG312" s="985"/>
      <c r="AH312" s="943"/>
      <c r="AI312" s="943"/>
      <c r="AJ312" s="942"/>
      <c r="AK312" s="1025"/>
      <c r="AL312" s="1025"/>
      <c r="AM312" s="1025"/>
      <c r="AN312" s="110"/>
      <c r="AO312" s="51"/>
      <c r="AP312" s="949" t="s">
        <v>1382</v>
      </c>
      <c r="AR312" s="21"/>
    </row>
    <row r="313" spans="1:60" ht="13">
      <c r="A313" s="1059"/>
      <c r="B313" s="943"/>
      <c r="C313" s="1092"/>
      <c r="D313" s="1092"/>
      <c r="E313" s="939"/>
      <c r="F313" s="1098"/>
      <c r="G313" s="1099"/>
      <c r="H313" s="1099"/>
      <c r="I313" s="3171"/>
      <c r="J313" s="3171"/>
      <c r="K313" s="3171"/>
      <c r="L313" s="3171"/>
      <c r="M313" s="3171"/>
      <c r="N313" s="3171"/>
      <c r="O313" s="3171"/>
      <c r="P313" s="3171"/>
      <c r="Q313" s="3171"/>
      <c r="R313" s="3171"/>
      <c r="S313" s="3171"/>
      <c r="T313" s="3171"/>
      <c r="U313" s="3171"/>
      <c r="V313" s="3171"/>
      <c r="W313" s="3171"/>
      <c r="X313" s="3171"/>
      <c r="Y313" s="3171"/>
      <c r="Z313" s="3171"/>
      <c r="AA313" s="3171"/>
      <c r="AB313" s="3171"/>
      <c r="AC313" s="3171"/>
      <c r="AD313" s="3172"/>
      <c r="AE313" s="943"/>
      <c r="AF313" s="943"/>
      <c r="AG313" s="985"/>
      <c r="AH313" s="943"/>
      <c r="AI313" s="943"/>
      <c r="AJ313" s="942"/>
      <c r="AK313" s="1025"/>
      <c r="AL313" s="1025"/>
      <c r="AM313" s="1025"/>
      <c r="AN313" s="110"/>
      <c r="AO313" s="51"/>
      <c r="AP313" s="949" t="s">
        <v>1664</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1987</v>
      </c>
    </row>
    <row r="315" spans="1:60" ht="12.75" customHeight="1">
      <c r="A315" s="3156" t="s">
        <v>1665</v>
      </c>
      <c r="B315" s="3156"/>
      <c r="C315" s="3044" t="s">
        <v>577</v>
      </c>
      <c r="D315" s="3044"/>
      <c r="E315" s="939"/>
      <c r="F315" s="3157" t="s">
        <v>1666</v>
      </c>
      <c r="G315" s="3158"/>
      <c r="H315" s="3158"/>
      <c r="I315" s="3158"/>
      <c r="J315" s="3158"/>
      <c r="K315" s="3158"/>
      <c r="L315" s="3158"/>
      <c r="M315" s="3158"/>
      <c r="N315" s="3158"/>
      <c r="O315" s="3158"/>
      <c r="P315" s="3158"/>
      <c r="Q315" s="3158"/>
      <c r="R315" s="3158"/>
      <c r="S315" s="3158"/>
      <c r="T315" s="3158"/>
      <c r="U315" s="3158"/>
      <c r="V315" s="3158"/>
      <c r="W315" s="3158"/>
      <c r="X315" s="3158"/>
      <c r="Y315" s="3158"/>
      <c r="Z315" s="3158"/>
      <c r="AA315" s="3158"/>
      <c r="AB315" s="3158"/>
      <c r="AC315" s="3158"/>
      <c r="AD315" s="3159"/>
      <c r="AE315" s="943"/>
      <c r="AF315" s="943"/>
      <c r="AG315" s="985" t="s">
        <v>1658</v>
      </c>
      <c r="AH315" s="943"/>
      <c r="AI315" s="943"/>
      <c r="AJ315" s="942"/>
      <c r="AK315" s="1025"/>
      <c r="AL315" s="1025"/>
      <c r="AM315" s="1025"/>
      <c r="AN315" s="110"/>
      <c r="AO315" s="51"/>
    </row>
    <row r="316" spans="1:60" ht="15" customHeight="1">
      <c r="A316" s="1059"/>
      <c r="B316" s="943"/>
      <c r="C316" s="943"/>
      <c r="D316" s="943"/>
      <c r="E316" s="943"/>
      <c r="F316" s="3160"/>
      <c r="G316" s="3161"/>
      <c r="H316" s="3161"/>
      <c r="I316" s="3161"/>
      <c r="J316" s="3161"/>
      <c r="K316" s="3161"/>
      <c r="L316" s="3161"/>
      <c r="M316" s="3161"/>
      <c r="N316" s="3161"/>
      <c r="O316" s="3161"/>
      <c r="P316" s="3161"/>
      <c r="Q316" s="3161"/>
      <c r="R316" s="3161"/>
      <c r="S316" s="3161"/>
      <c r="T316" s="3161"/>
      <c r="U316" s="3161"/>
      <c r="V316" s="3161"/>
      <c r="W316" s="3161"/>
      <c r="X316" s="3161"/>
      <c r="Y316" s="3161"/>
      <c r="Z316" s="3161"/>
      <c r="AA316" s="3161"/>
      <c r="AB316" s="3161"/>
      <c r="AC316" s="3161"/>
      <c r="AD316" s="3162"/>
      <c r="AE316" s="943"/>
      <c r="AF316" s="943"/>
      <c r="AG316" s="943"/>
      <c r="AH316" s="943"/>
      <c r="AI316" s="943"/>
      <c r="AJ316" s="942"/>
      <c r="AK316" s="1025"/>
      <c r="AL316" s="1025"/>
      <c r="AM316" s="1025"/>
      <c r="AN316" s="110"/>
      <c r="AO316" s="51"/>
    </row>
    <row r="317" spans="1:60" ht="15" customHeight="1">
      <c r="A317" s="1059"/>
      <c r="B317" s="943"/>
      <c r="C317" s="943"/>
      <c r="D317" s="943"/>
      <c r="E317" s="943"/>
      <c r="F317" s="3160"/>
      <c r="G317" s="3161"/>
      <c r="H317" s="3161"/>
      <c r="I317" s="3161"/>
      <c r="J317" s="3161"/>
      <c r="K317" s="3161"/>
      <c r="L317" s="3161"/>
      <c r="M317" s="3161"/>
      <c r="N317" s="3161"/>
      <c r="O317" s="3161"/>
      <c r="P317" s="3161"/>
      <c r="Q317" s="3161"/>
      <c r="R317" s="3161"/>
      <c r="S317" s="3161"/>
      <c r="T317" s="3161"/>
      <c r="U317" s="3161"/>
      <c r="V317" s="3161"/>
      <c r="W317" s="3161"/>
      <c r="X317" s="3161"/>
      <c r="Y317" s="3161"/>
      <c r="Z317" s="3161"/>
      <c r="AA317" s="3161"/>
      <c r="AB317" s="3161"/>
      <c r="AC317" s="3161"/>
      <c r="AD317" s="3162"/>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1667</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1668</v>
      </c>
      <c r="AK320" s="3030">
        <f>AP279</f>
        <v>9</v>
      </c>
      <c r="AL320" s="3031"/>
      <c r="AM320" s="3032"/>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1669</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2" t="s">
        <v>1582</v>
      </c>
      <c r="AF323" s="3112"/>
      <c r="AG323" s="3112"/>
      <c r="AH323" s="3112"/>
      <c r="AI323" s="3112"/>
      <c r="AJ323" s="3112"/>
      <c r="AK323" s="3112"/>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8" t="s">
        <v>2189</v>
      </c>
      <c r="C325" s="3048"/>
      <c r="D325" s="3048"/>
      <c r="E325" s="3048"/>
      <c r="F325" s="3048"/>
      <c r="G325" s="3048"/>
      <c r="H325" s="3048"/>
      <c r="I325" s="3048"/>
      <c r="J325" s="3048"/>
      <c r="K325" s="3048"/>
      <c r="L325" s="3048"/>
      <c r="M325" s="3048"/>
      <c r="N325" s="3048"/>
      <c r="O325" s="3048"/>
      <c r="P325" s="3048"/>
      <c r="Q325" s="3048"/>
      <c r="R325" s="3048"/>
      <c r="S325" s="3048"/>
      <c r="T325" s="3048"/>
      <c r="U325" s="3048"/>
      <c r="V325" s="3048"/>
      <c r="W325" s="3048"/>
      <c r="X325" s="3048"/>
      <c r="Y325" s="3048"/>
      <c r="Z325" s="3048"/>
      <c r="AA325" s="3048"/>
      <c r="AB325" s="3048"/>
      <c r="AC325" s="3048"/>
      <c r="AD325" s="3048"/>
      <c r="AE325" s="3048"/>
      <c r="AF325" s="3048"/>
      <c r="AG325" s="3048"/>
      <c r="AH325" s="3048"/>
      <c r="AI325" s="3048"/>
      <c r="AJ325" s="3048"/>
      <c r="AK325" s="1077"/>
      <c r="AL325" s="966"/>
      <c r="AM325" s="1026"/>
      <c r="AN325" s="999"/>
    </row>
    <row r="326" spans="1:42" s="942" customFormat="1" ht="12.75" customHeight="1">
      <c r="A326" s="1026"/>
      <c r="B326" s="3048"/>
      <c r="C326" s="3048"/>
      <c r="D326" s="3048"/>
      <c r="E326" s="3048"/>
      <c r="F326" s="3048"/>
      <c r="G326" s="3048"/>
      <c r="H326" s="3048"/>
      <c r="I326" s="3048"/>
      <c r="J326" s="3048"/>
      <c r="K326" s="3048"/>
      <c r="L326" s="3048"/>
      <c r="M326" s="3048"/>
      <c r="N326" s="3048"/>
      <c r="O326" s="3048"/>
      <c r="P326" s="3048"/>
      <c r="Q326" s="3048"/>
      <c r="R326" s="3048"/>
      <c r="S326" s="3048"/>
      <c r="T326" s="3048"/>
      <c r="U326" s="3048"/>
      <c r="V326" s="3048"/>
      <c r="W326" s="3048"/>
      <c r="X326" s="3048"/>
      <c r="Y326" s="3048"/>
      <c r="Z326" s="3048"/>
      <c r="AA326" s="3048"/>
      <c r="AB326" s="3048"/>
      <c r="AC326" s="3048"/>
      <c r="AD326" s="3048"/>
      <c r="AE326" s="3048"/>
      <c r="AF326" s="3048"/>
      <c r="AG326" s="3048"/>
      <c r="AH326" s="3048"/>
      <c r="AI326" s="3048"/>
      <c r="AJ326" s="3048"/>
      <c r="AK326" s="1077"/>
      <c r="AL326" s="966"/>
      <c r="AM326" s="1026"/>
      <c r="AN326" s="999"/>
    </row>
    <row r="327" spans="1:42" s="942" customFormat="1" ht="12.75" customHeight="1">
      <c r="A327" s="1026"/>
      <c r="B327" s="3048"/>
      <c r="C327" s="3048"/>
      <c r="D327" s="3048"/>
      <c r="E327" s="3048"/>
      <c r="F327" s="3048"/>
      <c r="G327" s="3048"/>
      <c r="H327" s="3048"/>
      <c r="I327" s="3048"/>
      <c r="J327" s="3048"/>
      <c r="K327" s="3048"/>
      <c r="L327" s="3048"/>
      <c r="M327" s="3048"/>
      <c r="N327" s="3048"/>
      <c r="O327" s="3048"/>
      <c r="P327" s="3048"/>
      <c r="Q327" s="3048"/>
      <c r="R327" s="3048"/>
      <c r="S327" s="3048"/>
      <c r="T327" s="3048"/>
      <c r="U327" s="3048"/>
      <c r="V327" s="3048"/>
      <c r="W327" s="3048"/>
      <c r="X327" s="3048"/>
      <c r="Y327" s="3048"/>
      <c r="Z327" s="3048"/>
      <c r="AA327" s="3048"/>
      <c r="AB327" s="3048"/>
      <c r="AC327" s="3048"/>
      <c r="AD327" s="3048"/>
      <c r="AE327" s="3048"/>
      <c r="AF327" s="3048"/>
      <c r="AG327" s="3048"/>
      <c r="AH327" s="3048"/>
      <c r="AI327" s="3048"/>
      <c r="AJ327" s="3048"/>
      <c r="AK327" s="1077"/>
      <c r="AL327" s="966"/>
      <c r="AM327" s="1026"/>
      <c r="AN327" s="999"/>
    </row>
    <row r="328" spans="1:42" s="942" customFormat="1" ht="12.75" customHeight="1">
      <c r="A328" s="1026"/>
      <c r="B328" s="3048"/>
      <c r="C328" s="3048"/>
      <c r="D328" s="3048"/>
      <c r="E328" s="3048"/>
      <c r="F328" s="3048"/>
      <c r="G328" s="3048"/>
      <c r="H328" s="3048"/>
      <c r="I328" s="3048"/>
      <c r="J328" s="3048"/>
      <c r="K328" s="3048"/>
      <c r="L328" s="3048"/>
      <c r="M328" s="3048"/>
      <c r="N328" s="3048"/>
      <c r="O328" s="3048"/>
      <c r="P328" s="3048"/>
      <c r="Q328" s="3048"/>
      <c r="R328" s="3048"/>
      <c r="S328" s="3048"/>
      <c r="T328" s="3048"/>
      <c r="U328" s="3048"/>
      <c r="V328" s="3048"/>
      <c r="W328" s="3048"/>
      <c r="X328" s="3048"/>
      <c r="Y328" s="3048"/>
      <c r="Z328" s="3048"/>
      <c r="AA328" s="3048"/>
      <c r="AB328" s="3048"/>
      <c r="AC328" s="3048"/>
      <c r="AD328" s="3048"/>
      <c r="AE328" s="3048"/>
      <c r="AF328" s="3048"/>
      <c r="AG328" s="3048"/>
      <c r="AH328" s="3048"/>
      <c r="AI328" s="3048"/>
      <c r="AJ328" s="3048"/>
      <c r="AK328" s="1077"/>
      <c r="AL328" s="966"/>
      <c r="AM328" s="1026"/>
      <c r="AN328" s="999"/>
    </row>
    <row r="329" spans="1:42" s="942" customFormat="1" ht="12.75" customHeight="1">
      <c r="A329" s="1026"/>
      <c r="B329" s="3048"/>
      <c r="C329" s="3048"/>
      <c r="D329" s="3048"/>
      <c r="E329" s="3048"/>
      <c r="F329" s="3048"/>
      <c r="G329" s="3048"/>
      <c r="H329" s="3048"/>
      <c r="I329" s="3048"/>
      <c r="J329" s="3048"/>
      <c r="K329" s="3048"/>
      <c r="L329" s="3048"/>
      <c r="M329" s="3048"/>
      <c r="N329" s="3048"/>
      <c r="O329" s="3048"/>
      <c r="P329" s="3048"/>
      <c r="Q329" s="3048"/>
      <c r="R329" s="3048"/>
      <c r="S329" s="3048"/>
      <c r="T329" s="3048"/>
      <c r="U329" s="3048"/>
      <c r="V329" s="3048"/>
      <c r="W329" s="3048"/>
      <c r="X329" s="3048"/>
      <c r="Y329" s="3048"/>
      <c r="Z329" s="3048"/>
      <c r="AA329" s="3048"/>
      <c r="AB329" s="3048"/>
      <c r="AC329" s="3048"/>
      <c r="AD329" s="3048"/>
      <c r="AE329" s="3048"/>
      <c r="AF329" s="3048"/>
      <c r="AG329" s="3048"/>
      <c r="AH329" s="3048"/>
      <c r="AI329" s="3048"/>
      <c r="AJ329" s="3048"/>
      <c r="AK329" s="1077"/>
      <c r="AL329" s="966"/>
      <c r="AM329" s="1026"/>
      <c r="AN329" s="999"/>
    </row>
    <row r="330" spans="1:42" s="942" customFormat="1" ht="12.75" customHeight="1">
      <c r="A330" s="1026"/>
      <c r="B330" s="3048"/>
      <c r="C330" s="3048"/>
      <c r="D330" s="3048"/>
      <c r="E330" s="3048"/>
      <c r="F330" s="3048"/>
      <c r="G330" s="3048"/>
      <c r="H330" s="3048"/>
      <c r="I330" s="3048"/>
      <c r="J330" s="3048"/>
      <c r="K330" s="3048"/>
      <c r="L330" s="3048"/>
      <c r="M330" s="3048"/>
      <c r="N330" s="3048"/>
      <c r="O330" s="3048"/>
      <c r="P330" s="3048"/>
      <c r="Q330" s="3048"/>
      <c r="R330" s="3048"/>
      <c r="S330" s="3048"/>
      <c r="T330" s="3048"/>
      <c r="U330" s="3048"/>
      <c r="V330" s="3048"/>
      <c r="W330" s="3048"/>
      <c r="X330" s="3048"/>
      <c r="Y330" s="3048"/>
      <c r="Z330" s="3048"/>
      <c r="AA330" s="3048"/>
      <c r="AB330" s="3048"/>
      <c r="AC330" s="3048"/>
      <c r="AD330" s="3048"/>
      <c r="AE330" s="3048"/>
      <c r="AF330" s="3048"/>
      <c r="AG330" s="3048"/>
      <c r="AH330" s="3048"/>
      <c r="AI330" s="3048"/>
      <c r="AJ330" s="3048"/>
      <c r="AK330" s="1077"/>
      <c r="AL330" s="966"/>
      <c r="AM330" s="1026"/>
      <c r="AN330" s="999"/>
    </row>
    <row r="331" spans="1:42" s="942" customFormat="1" ht="12.75" customHeight="1">
      <c r="A331" s="1026"/>
      <c r="B331" s="3048"/>
      <c r="C331" s="3048"/>
      <c r="D331" s="3048"/>
      <c r="E331" s="3048"/>
      <c r="F331" s="3048"/>
      <c r="G331" s="3048"/>
      <c r="H331" s="3048"/>
      <c r="I331" s="3048"/>
      <c r="J331" s="3048"/>
      <c r="K331" s="3048"/>
      <c r="L331" s="3048"/>
      <c r="M331" s="3048"/>
      <c r="N331" s="3048"/>
      <c r="O331" s="3048"/>
      <c r="P331" s="3048"/>
      <c r="Q331" s="3048"/>
      <c r="R331" s="3048"/>
      <c r="S331" s="3048"/>
      <c r="T331" s="3048"/>
      <c r="U331" s="3048"/>
      <c r="V331" s="3048"/>
      <c r="W331" s="3048"/>
      <c r="X331" s="3048"/>
      <c r="Y331" s="3048"/>
      <c r="Z331" s="3048"/>
      <c r="AA331" s="3048"/>
      <c r="AB331" s="3048"/>
      <c r="AC331" s="3048"/>
      <c r="AD331" s="3048"/>
      <c r="AE331" s="3048"/>
      <c r="AF331" s="3048"/>
      <c r="AG331" s="3048"/>
      <c r="AH331" s="3048"/>
      <c r="AI331" s="3048"/>
      <c r="AJ331" s="3048"/>
      <c r="AK331" s="1077"/>
      <c r="AL331" s="966"/>
      <c r="AM331" s="1026"/>
      <c r="AN331" s="999"/>
    </row>
    <row r="332" spans="1:42" ht="12.75" customHeight="1">
      <c r="A332" s="1026"/>
      <c r="B332" s="3048"/>
      <c r="C332" s="3048"/>
      <c r="D332" s="3048"/>
      <c r="E332" s="3048"/>
      <c r="F332" s="3048"/>
      <c r="G332" s="3048"/>
      <c r="H332" s="3048"/>
      <c r="I332" s="3048"/>
      <c r="J332" s="3048"/>
      <c r="K332" s="3048"/>
      <c r="L332" s="3048"/>
      <c r="M332" s="3048"/>
      <c r="N332" s="3048"/>
      <c r="O332" s="3048"/>
      <c r="P332" s="3048"/>
      <c r="Q332" s="3048"/>
      <c r="R332" s="3048"/>
      <c r="S332" s="3048"/>
      <c r="T332" s="3048"/>
      <c r="U332" s="3048"/>
      <c r="V332" s="3048"/>
      <c r="W332" s="3048"/>
      <c r="X332" s="3048"/>
      <c r="Y332" s="3048"/>
      <c r="Z332" s="3048"/>
      <c r="AA332" s="3048"/>
      <c r="AB332" s="3048"/>
      <c r="AC332" s="3048"/>
      <c r="AD332" s="3048"/>
      <c r="AE332" s="3048"/>
      <c r="AF332" s="3048"/>
      <c r="AG332" s="3048"/>
      <c r="AH332" s="3048"/>
      <c r="AI332" s="3048"/>
      <c r="AJ332" s="3048"/>
      <c r="AK332" s="1077"/>
      <c r="AL332" s="966"/>
      <c r="AM332" s="1026"/>
    </row>
    <row r="333" spans="1:42" s="942" customFormat="1" ht="12.75" customHeight="1">
      <c r="A333" s="1059"/>
      <c r="B333" s="3048"/>
      <c r="C333" s="3048"/>
      <c r="D333" s="3048"/>
      <c r="E333" s="3048"/>
      <c r="F333" s="3048"/>
      <c r="G333" s="3048"/>
      <c r="H333" s="3048"/>
      <c r="I333" s="3048"/>
      <c r="J333" s="3048"/>
      <c r="K333" s="3048"/>
      <c r="L333" s="3048"/>
      <c r="M333" s="3048"/>
      <c r="N333" s="3048"/>
      <c r="O333" s="3048"/>
      <c r="P333" s="3048"/>
      <c r="Q333" s="3048"/>
      <c r="R333" s="3048"/>
      <c r="S333" s="3048"/>
      <c r="T333" s="3048"/>
      <c r="U333" s="3048"/>
      <c r="V333" s="3048"/>
      <c r="W333" s="3048"/>
      <c r="X333" s="3048"/>
      <c r="Y333" s="3048"/>
      <c r="Z333" s="3048"/>
      <c r="AA333" s="3048"/>
      <c r="AB333" s="3048"/>
      <c r="AC333" s="3048"/>
      <c r="AD333" s="3048"/>
      <c r="AE333" s="3048"/>
      <c r="AF333" s="3048"/>
      <c r="AG333" s="3048"/>
      <c r="AH333" s="3048"/>
      <c r="AI333" s="3048"/>
      <c r="AJ333" s="3048"/>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1670</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1671</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2194</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47" t="s">
        <v>1606</v>
      </c>
      <c r="AG339" s="3147"/>
      <c r="AH339" s="3147"/>
      <c r="AI339" s="3147"/>
      <c r="AJ339" s="3147"/>
      <c r="AK339" s="3147"/>
      <c r="AL339" s="3147"/>
      <c r="AM339" s="1025"/>
      <c r="AN339" s="999"/>
    </row>
    <row r="340" spans="1:42" s="942" customFormat="1" ht="12.75" customHeight="1">
      <c r="A340" s="1025"/>
      <c r="B340" s="1005"/>
      <c r="C340" s="1034"/>
      <c r="D340" s="1105"/>
      <c r="E340" s="1635" t="s">
        <v>2195</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2196</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2197</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2198</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2199</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47" t="s">
        <v>1672</v>
      </c>
      <c r="AG346" s="3147"/>
      <c r="AH346" s="3147"/>
      <c r="AI346" s="3147"/>
      <c r="AJ346" s="3147"/>
      <c r="AK346" s="3147"/>
      <c r="AL346" s="3147"/>
      <c r="AM346" s="1025"/>
      <c r="AN346" s="999"/>
    </row>
    <row r="347" spans="1:42" s="942" customFormat="1" ht="12.75" customHeight="1">
      <c r="A347" s="1059"/>
      <c r="B347" s="1022"/>
      <c r="C347" s="1638"/>
      <c r="D347" s="1105"/>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283</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1673</v>
      </c>
      <c r="AP351" s="942">
        <v>4</v>
      </c>
    </row>
    <row r="352" spans="1:42" s="942" customFormat="1" ht="12.75" customHeight="1">
      <c r="A352" s="1059"/>
      <c r="B352" s="1005"/>
      <c r="C352" s="1636"/>
      <c r="D352" s="1105" t="s">
        <v>283</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47" t="s">
        <v>1646</v>
      </c>
      <c r="AG352" s="3147"/>
      <c r="AH352" s="3147"/>
      <c r="AI352" s="3147"/>
      <c r="AJ352" s="3147"/>
      <c r="AK352" s="3147"/>
      <c r="AL352" s="3147"/>
      <c r="AM352" s="1025"/>
      <c r="AN352" s="999"/>
      <c r="AO352" s="1117" t="s">
        <v>1674</v>
      </c>
      <c r="AP352" s="942">
        <v>3</v>
      </c>
    </row>
    <row r="353" spans="1:53" s="942" customFormat="1" ht="12.75" customHeight="1">
      <c r="A353" s="1059"/>
      <c r="B353" s="1022"/>
      <c r="C353" s="1638"/>
      <c r="D353" s="1105"/>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1673</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47" t="s">
        <v>1675</v>
      </c>
      <c r="AG358" s="3147"/>
      <c r="AH358" s="3147"/>
      <c r="AI358" s="3147"/>
      <c r="AJ358" s="3147"/>
      <c r="AK358" s="3147"/>
      <c r="AL358" s="3147"/>
      <c r="AM358" s="1025"/>
      <c r="AN358" s="999"/>
      <c r="AO358" s="942" t="str">
        <f>X395</f>
        <v>N/A</v>
      </c>
    </row>
    <row r="359" spans="1:53" s="942" customFormat="1" ht="12.75" customHeight="1">
      <c r="A359" s="1059"/>
      <c r="B359" s="1022"/>
      <c r="C359" s="1638"/>
      <c r="D359" s="1105"/>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2393</v>
      </c>
      <c r="O362" s="3155" t="s">
        <v>1382</v>
      </c>
      <c r="P362" s="3155"/>
      <c r="Q362" s="3155"/>
      <c r="R362" s="3155"/>
      <c r="S362" s="3155"/>
      <c r="T362" s="3155"/>
      <c r="U362" s="3155"/>
      <c r="V362" s="3155"/>
      <c r="W362" s="3155"/>
      <c r="X362" s="3155"/>
      <c r="Y362" s="3155"/>
      <c r="Z362" s="3155"/>
      <c r="AA362" s="3155"/>
      <c r="AB362" s="3155"/>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1674</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47" t="s">
        <v>1620</v>
      </c>
      <c r="AG364" s="3147"/>
      <c r="AH364" s="3147"/>
      <c r="AI364" s="3147"/>
      <c r="AJ364" s="3147"/>
      <c r="AK364" s="3147"/>
      <c r="AL364" s="3147"/>
      <c r="AM364" s="1025"/>
      <c r="AN364" s="1000"/>
    </row>
    <row r="365" spans="1:53" s="942" customFormat="1" ht="12.75" customHeight="1">
      <c r="A365" s="1059"/>
      <c r="B365" s="1005"/>
      <c r="C365" s="1636"/>
      <c r="D365" s="1105"/>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1676</v>
      </c>
      <c r="E367" s="1642"/>
      <c r="F367" s="1642"/>
      <c r="G367" s="1642"/>
      <c r="H367" s="3047" t="s">
        <v>724</v>
      </c>
      <c r="I367" s="3047"/>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2211</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2212</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2213</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2214</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1676</v>
      </c>
      <c r="F375" s="1642"/>
      <c r="G375" s="1642"/>
      <c r="I375" s="3154" t="s">
        <v>625</v>
      </c>
      <c r="J375" s="3154"/>
      <c r="K375" s="3154"/>
      <c r="L375" s="3154"/>
      <c r="M375" s="3154"/>
      <c r="N375" s="3154"/>
      <c r="O375" s="3154"/>
      <c r="P375" s="3154"/>
      <c r="Q375" s="3154"/>
      <c r="R375" s="3154"/>
      <c r="S375" s="3154"/>
      <c r="T375" s="3154"/>
      <c r="U375" s="3154"/>
      <c r="V375" s="3154"/>
      <c r="W375" s="3154"/>
      <c r="X375" s="3154"/>
      <c r="Y375" s="3154"/>
      <c r="Z375" s="3154"/>
      <c r="AA375" s="3154"/>
      <c r="AB375" s="3154"/>
      <c r="AC375" s="3154"/>
      <c r="AD375" s="3154"/>
      <c r="AE375" s="3154"/>
      <c r="AF375" s="926"/>
      <c r="AG375" s="926"/>
      <c r="AH375" s="926"/>
      <c r="AI375" s="926"/>
      <c r="AJ375" s="926"/>
      <c r="AK375" s="926"/>
      <c r="AL375" s="926"/>
      <c r="AN375" s="999"/>
      <c r="AO375" s="942" t="s">
        <v>1677</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1678</v>
      </c>
      <c r="AP376" s="942">
        <v>2</v>
      </c>
    </row>
    <row r="377" spans="1:46" s="942" customFormat="1" ht="12.75" customHeight="1">
      <c r="A377" s="1059"/>
      <c r="B377" s="3152" t="s">
        <v>625</v>
      </c>
      <c r="C377" s="3152"/>
      <c r="D377" s="1643"/>
      <c r="E377" s="3048" t="s">
        <v>1679</v>
      </c>
      <c r="F377" s="3048"/>
      <c r="G377" s="3048"/>
      <c r="H377" s="3048"/>
      <c r="I377" s="3048"/>
      <c r="J377" s="3048"/>
      <c r="K377" s="3048"/>
      <c r="L377" s="3048"/>
      <c r="M377" s="3048"/>
      <c r="N377" s="3048"/>
      <c r="O377" s="3048"/>
      <c r="P377" s="3048"/>
      <c r="Q377" s="3048"/>
      <c r="R377" s="3048"/>
      <c r="S377" s="3048"/>
      <c r="T377" s="3048"/>
      <c r="U377" s="3048"/>
      <c r="V377" s="3048"/>
      <c r="W377" s="3048"/>
      <c r="X377" s="3048"/>
      <c r="Y377" s="3048"/>
      <c r="Z377" s="3048"/>
      <c r="AA377" s="3048"/>
      <c r="AB377" s="3048"/>
      <c r="AC377" s="3048"/>
      <c r="AD377" s="3048"/>
      <c r="AE377" s="3048"/>
      <c r="AF377" s="3048"/>
      <c r="AG377" s="3048"/>
      <c r="AH377" s="1643"/>
      <c r="AI377" s="1643"/>
      <c r="AJ377" s="1643"/>
      <c r="AK377" s="1643"/>
      <c r="AL377" s="1643"/>
      <c r="AN377" s="999"/>
    </row>
    <row r="378" spans="1:46" s="942" customFormat="1" ht="12.75" customHeight="1">
      <c r="A378" s="1059"/>
      <c r="B378" s="1022"/>
      <c r="C378" s="1638"/>
      <c r="D378" s="1643"/>
      <c r="E378" s="3048"/>
      <c r="F378" s="3048"/>
      <c r="G378" s="3048"/>
      <c r="H378" s="3048"/>
      <c r="I378" s="3048"/>
      <c r="J378" s="3048"/>
      <c r="K378" s="3048"/>
      <c r="L378" s="3048"/>
      <c r="M378" s="3048"/>
      <c r="N378" s="3048"/>
      <c r="O378" s="3048"/>
      <c r="P378" s="3048"/>
      <c r="Q378" s="3048"/>
      <c r="R378" s="3048"/>
      <c r="S378" s="3048"/>
      <c r="T378" s="3048"/>
      <c r="U378" s="3048"/>
      <c r="V378" s="3048"/>
      <c r="W378" s="3048"/>
      <c r="X378" s="3048"/>
      <c r="Y378" s="3048"/>
      <c r="Z378" s="3048"/>
      <c r="AA378" s="3048"/>
      <c r="AB378" s="3048"/>
      <c r="AC378" s="3048"/>
      <c r="AD378" s="3048"/>
      <c r="AE378" s="3048"/>
      <c r="AF378" s="3048"/>
      <c r="AG378" s="3048"/>
      <c r="AH378" s="1643"/>
      <c r="AI378" s="1643"/>
      <c r="AJ378" s="1643"/>
      <c r="AK378" s="1643"/>
      <c r="AL378" s="1643"/>
      <c r="AN378" s="999"/>
    </row>
    <row r="379" spans="1:46" s="942" customFormat="1" ht="12.75" customHeight="1">
      <c r="A379" s="1059"/>
      <c r="B379" s="1022"/>
      <c r="C379" s="1638"/>
      <c r="D379" s="1643"/>
      <c r="E379" s="3048"/>
      <c r="F379" s="3048"/>
      <c r="G379" s="3048"/>
      <c r="H379" s="3048"/>
      <c r="I379" s="3048"/>
      <c r="J379" s="3048"/>
      <c r="K379" s="3048"/>
      <c r="L379" s="3048"/>
      <c r="M379" s="3048"/>
      <c r="N379" s="3048"/>
      <c r="O379" s="3048"/>
      <c r="P379" s="3048"/>
      <c r="Q379" s="3048"/>
      <c r="R379" s="3048"/>
      <c r="S379" s="3048"/>
      <c r="T379" s="3048"/>
      <c r="U379" s="3048"/>
      <c r="V379" s="3048"/>
      <c r="W379" s="3048"/>
      <c r="X379" s="3048"/>
      <c r="Y379" s="3048"/>
      <c r="Z379" s="3048"/>
      <c r="AA379" s="3048"/>
      <c r="AB379" s="3048"/>
      <c r="AC379" s="3048"/>
      <c r="AD379" s="3048"/>
      <c r="AE379" s="3048"/>
      <c r="AF379" s="3048"/>
      <c r="AG379" s="3048"/>
      <c r="AH379" s="1643"/>
      <c r="AI379" s="1643"/>
      <c r="AJ379" s="1643"/>
      <c r="AK379" s="1643"/>
      <c r="AL379" s="1643"/>
      <c r="AN379" s="999"/>
    </row>
    <row r="380" spans="1:46" s="942" customFormat="1" ht="12.75" customHeight="1">
      <c r="A380" s="1059"/>
      <c r="B380" s="1022"/>
      <c r="C380" s="1638"/>
      <c r="D380" s="1645"/>
      <c r="E380" s="3048"/>
      <c r="F380" s="3048"/>
      <c r="G380" s="3048"/>
      <c r="H380" s="3048"/>
      <c r="I380" s="3048"/>
      <c r="J380" s="3048"/>
      <c r="K380" s="3048"/>
      <c r="L380" s="3048"/>
      <c r="M380" s="3048"/>
      <c r="N380" s="3048"/>
      <c r="O380" s="3048"/>
      <c r="P380" s="3048"/>
      <c r="Q380" s="3048"/>
      <c r="R380" s="3048"/>
      <c r="S380" s="3048"/>
      <c r="T380" s="3048"/>
      <c r="U380" s="3048"/>
      <c r="V380" s="3048"/>
      <c r="W380" s="3048"/>
      <c r="X380" s="3048"/>
      <c r="Y380" s="3048"/>
      <c r="Z380" s="3048"/>
      <c r="AA380" s="3048"/>
      <c r="AB380" s="3048"/>
      <c r="AC380" s="3048"/>
      <c r="AD380" s="3048"/>
      <c r="AE380" s="3048"/>
      <c r="AF380" s="3048"/>
      <c r="AG380" s="3048"/>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1680</v>
      </c>
      <c r="AJ382" s="3030">
        <f>VLOOKUP($H$367,$AO$347:$AP$352,2,FALSE)+VLOOKUP($I$375,$AO$374:$AP$376,2,FALSE)</f>
        <v>7</v>
      </c>
      <c r="AK382" s="3032"/>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1681</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53" t="s">
        <v>2190</v>
      </c>
      <c r="F386" s="3153"/>
      <c r="G386" s="3153"/>
      <c r="H386" s="3153"/>
      <c r="I386" s="3153"/>
      <c r="J386" s="3153"/>
      <c r="K386" s="3153"/>
      <c r="L386" s="3153"/>
      <c r="M386" s="3153"/>
      <c r="N386" s="3153"/>
      <c r="O386" s="3153"/>
      <c r="P386" s="3153"/>
      <c r="Q386" s="3153"/>
      <c r="R386" s="3153"/>
      <c r="S386" s="3153"/>
      <c r="T386" s="3153"/>
      <c r="U386" s="3153"/>
      <c r="V386" s="3153"/>
      <c r="W386" s="3153"/>
      <c r="X386" s="3153"/>
      <c r="Y386" s="3153"/>
      <c r="Z386" s="3153"/>
      <c r="AA386" s="3153"/>
      <c r="AB386" s="3153"/>
      <c r="AC386" s="3153"/>
      <c r="AD386" s="3153"/>
      <c r="AE386" s="931"/>
      <c r="AF386" s="3147" t="s">
        <v>1620</v>
      </c>
      <c r="AG386" s="3147"/>
      <c r="AH386" s="3147"/>
      <c r="AI386" s="3147"/>
      <c r="AJ386" s="3147"/>
      <c r="AK386" s="3147"/>
      <c r="AL386" s="3147"/>
      <c r="AM386" s="1025"/>
      <c r="AN386" s="1124"/>
    </row>
    <row r="387" spans="1:42" s="942" customFormat="1" ht="12.75" customHeight="1">
      <c r="A387" s="1125"/>
      <c r="B387" s="1022"/>
      <c r="C387" s="1638"/>
      <c r="D387" s="1105"/>
      <c r="E387" s="3153"/>
      <c r="F387" s="3153"/>
      <c r="G387" s="3153"/>
      <c r="H387" s="3153"/>
      <c r="I387" s="3153"/>
      <c r="J387" s="3153"/>
      <c r="K387" s="3153"/>
      <c r="L387" s="3153"/>
      <c r="M387" s="3153"/>
      <c r="N387" s="3153"/>
      <c r="O387" s="3153"/>
      <c r="P387" s="3153"/>
      <c r="Q387" s="3153"/>
      <c r="R387" s="3153"/>
      <c r="S387" s="3153"/>
      <c r="T387" s="3153"/>
      <c r="U387" s="3153"/>
      <c r="V387" s="3153"/>
      <c r="W387" s="3153"/>
      <c r="X387" s="3153"/>
      <c r="Y387" s="3153"/>
      <c r="Z387" s="3153"/>
      <c r="AA387" s="3153"/>
      <c r="AB387" s="3153"/>
      <c r="AC387" s="3153"/>
      <c r="AD387" s="3153"/>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3"/>
      <c r="F388" s="3153"/>
      <c r="G388" s="3153"/>
      <c r="H388" s="3153"/>
      <c r="I388" s="3153"/>
      <c r="J388" s="3153"/>
      <c r="K388" s="3153"/>
      <c r="L388" s="3153"/>
      <c r="M388" s="3153"/>
      <c r="N388" s="3153"/>
      <c r="O388" s="3153"/>
      <c r="P388" s="3153"/>
      <c r="Q388" s="3153"/>
      <c r="R388" s="3153"/>
      <c r="S388" s="3153"/>
      <c r="T388" s="3153"/>
      <c r="U388" s="3153"/>
      <c r="V388" s="3153"/>
      <c r="W388" s="3153"/>
      <c r="X388" s="3153"/>
      <c r="Y388" s="3153"/>
      <c r="Z388" s="3153"/>
      <c r="AA388" s="3153"/>
      <c r="AB388" s="3153"/>
      <c r="AC388" s="3153"/>
      <c r="AD388" s="3153"/>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3"/>
      <c r="F389" s="3153"/>
      <c r="G389" s="3153"/>
      <c r="H389" s="3153"/>
      <c r="I389" s="3153"/>
      <c r="J389" s="3153"/>
      <c r="K389" s="3153"/>
      <c r="L389" s="3153"/>
      <c r="M389" s="3153"/>
      <c r="N389" s="3153"/>
      <c r="O389" s="3153"/>
      <c r="P389" s="3153"/>
      <c r="Q389" s="3153"/>
      <c r="R389" s="3153"/>
      <c r="S389" s="3153"/>
      <c r="T389" s="3153"/>
      <c r="U389" s="3153"/>
      <c r="V389" s="3153"/>
      <c r="W389" s="3153"/>
      <c r="X389" s="3153"/>
      <c r="Y389" s="3153"/>
      <c r="Z389" s="3153"/>
      <c r="AA389" s="3153"/>
      <c r="AB389" s="3153"/>
      <c r="AC389" s="3153"/>
      <c r="AD389" s="3153"/>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3"/>
      <c r="F390" s="3153"/>
      <c r="G390" s="3153"/>
      <c r="H390" s="3153"/>
      <c r="I390" s="3153"/>
      <c r="J390" s="3153"/>
      <c r="K390" s="3153"/>
      <c r="L390" s="3153"/>
      <c r="M390" s="3153"/>
      <c r="N390" s="3153"/>
      <c r="O390" s="3153"/>
      <c r="P390" s="3153"/>
      <c r="Q390" s="3153"/>
      <c r="R390" s="3153"/>
      <c r="S390" s="3153"/>
      <c r="T390" s="3153"/>
      <c r="U390" s="3153"/>
      <c r="V390" s="3153"/>
      <c r="W390" s="3153"/>
      <c r="X390" s="3153"/>
      <c r="Y390" s="3153"/>
      <c r="Z390" s="3153"/>
      <c r="AA390" s="3153"/>
      <c r="AB390" s="3153"/>
      <c r="AC390" s="3153"/>
      <c r="AD390" s="3153"/>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3"/>
      <c r="F391" s="3153"/>
      <c r="G391" s="3153"/>
      <c r="H391" s="3153"/>
      <c r="I391" s="3153"/>
      <c r="J391" s="3153"/>
      <c r="K391" s="3153"/>
      <c r="L391" s="3153"/>
      <c r="M391" s="3153"/>
      <c r="N391" s="3153"/>
      <c r="O391" s="3153"/>
      <c r="P391" s="3153"/>
      <c r="Q391" s="3153"/>
      <c r="R391" s="3153"/>
      <c r="S391" s="3153"/>
      <c r="T391" s="3153"/>
      <c r="U391" s="3153"/>
      <c r="V391" s="3153"/>
      <c r="W391" s="3153"/>
      <c r="X391" s="3153"/>
      <c r="Y391" s="3153"/>
      <c r="Z391" s="3153"/>
      <c r="AA391" s="3153"/>
      <c r="AB391" s="3153"/>
      <c r="AC391" s="3153"/>
      <c r="AD391" s="3153"/>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3"/>
      <c r="F392" s="3153"/>
      <c r="G392" s="3153"/>
      <c r="H392" s="3153"/>
      <c r="I392" s="3153"/>
      <c r="J392" s="3153"/>
      <c r="K392" s="3153"/>
      <c r="L392" s="3153"/>
      <c r="M392" s="3153"/>
      <c r="N392" s="3153"/>
      <c r="O392" s="3153"/>
      <c r="P392" s="3153"/>
      <c r="Q392" s="3153"/>
      <c r="R392" s="3153"/>
      <c r="S392" s="3153"/>
      <c r="T392" s="3153"/>
      <c r="U392" s="3153"/>
      <c r="V392" s="3153"/>
      <c r="W392" s="3153"/>
      <c r="X392" s="3153"/>
      <c r="Y392" s="3153"/>
      <c r="Z392" s="3153"/>
      <c r="AA392" s="3153"/>
      <c r="AB392" s="3153"/>
      <c r="AC392" s="3153"/>
      <c r="AD392" s="3153"/>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3"/>
      <c r="F393" s="3153"/>
      <c r="G393" s="3153"/>
      <c r="H393" s="3153"/>
      <c r="I393" s="3153"/>
      <c r="J393" s="3153"/>
      <c r="K393" s="3153"/>
      <c r="L393" s="3153"/>
      <c r="M393" s="3153"/>
      <c r="N393" s="3153"/>
      <c r="O393" s="3153"/>
      <c r="P393" s="3153"/>
      <c r="Q393" s="3153"/>
      <c r="R393" s="3153"/>
      <c r="S393" s="3153"/>
      <c r="T393" s="3153"/>
      <c r="U393" s="3153"/>
      <c r="V393" s="3153"/>
      <c r="W393" s="3153"/>
      <c r="X393" s="3153"/>
      <c r="Y393" s="3153"/>
      <c r="Z393" s="3153"/>
      <c r="AA393" s="3153"/>
      <c r="AB393" s="3153"/>
      <c r="AC393" s="3153"/>
      <c r="AD393" s="3153"/>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1682</v>
      </c>
      <c r="F395" s="1649"/>
      <c r="G395" s="1649"/>
      <c r="H395" s="1649"/>
      <c r="I395" s="1649"/>
      <c r="J395" s="1649"/>
      <c r="K395" s="1649"/>
      <c r="L395" s="1649"/>
      <c r="M395" s="1649"/>
      <c r="N395" s="1649"/>
      <c r="O395" s="1649"/>
      <c r="P395" s="1649"/>
      <c r="Q395" s="1649"/>
      <c r="R395" s="1649"/>
      <c r="U395" s="1649"/>
      <c r="V395" s="1649"/>
      <c r="W395" s="1649"/>
      <c r="X395" s="3152" t="s">
        <v>625</v>
      </c>
      <c r="Y395" s="3152"/>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1683</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47" t="s">
        <v>1684</v>
      </c>
      <c r="AG397" s="3147"/>
      <c r="AH397" s="3147"/>
      <c r="AI397" s="3147"/>
      <c r="AJ397" s="3147"/>
      <c r="AK397" s="3147"/>
      <c r="AL397" s="3147"/>
      <c r="AM397" s="1025"/>
      <c r="AN397" s="999"/>
      <c r="AO397" s="1117" t="s">
        <v>283</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1673</v>
      </c>
      <c r="AP398" s="1127">
        <v>4</v>
      </c>
    </row>
    <row r="399" spans="1:42" s="942" customFormat="1" ht="12.75" customHeight="1">
      <c r="A399" s="1059"/>
      <c r="B399" s="1005"/>
      <c r="C399" s="1636"/>
      <c r="D399" s="1022" t="s">
        <v>1676</v>
      </c>
      <c r="E399" s="1642"/>
      <c r="F399" s="1642"/>
      <c r="G399" s="1642"/>
      <c r="H399" s="3047" t="s">
        <v>724</v>
      </c>
      <c r="I399" s="3047"/>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1674</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1685</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1686</v>
      </c>
      <c r="AJ401" s="3030">
        <f>VLOOKUP($H$399,$AO$366:$AP$368,2,FALSE)</f>
        <v>3</v>
      </c>
      <c r="AK401" s="3032"/>
      <c r="AL401" s="1004"/>
      <c r="AM401" s="1001"/>
      <c r="AN401" s="999"/>
      <c r="AO401" s="1117" t="s">
        <v>1687</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1688</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47" t="s">
        <v>1620</v>
      </c>
      <c r="AG405" s="3147"/>
      <c r="AH405" s="3147"/>
      <c r="AI405" s="3147"/>
      <c r="AJ405" s="3147"/>
      <c r="AK405" s="3147"/>
      <c r="AL405" s="3147"/>
      <c r="AM405" s="1025"/>
      <c r="AN405" s="999"/>
    </row>
    <row r="406" spans="1:42" s="942" customFormat="1" ht="12.75" customHeight="1">
      <c r="A406" s="1059"/>
      <c r="B406" s="926"/>
      <c r="C406" s="926"/>
      <c r="D406" s="1105"/>
      <c r="E406" s="1034"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1691</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47" t="s">
        <v>1684</v>
      </c>
      <c r="AG408" s="3147"/>
      <c r="AH408" s="3147"/>
      <c r="AI408" s="3147"/>
      <c r="AJ408" s="3147"/>
      <c r="AK408" s="3147"/>
      <c r="AL408" s="3147"/>
      <c r="AM408" s="1025"/>
      <c r="AN408" s="999"/>
    </row>
    <row r="409" spans="1:42" s="942" customFormat="1" ht="12.75" customHeight="1">
      <c r="A409" s="1059"/>
      <c r="B409" s="1005"/>
      <c r="C409" s="1636"/>
      <c r="D409" s="1105"/>
      <c r="E409" s="1034" t="s">
        <v>1692</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1676</v>
      </c>
      <c r="E411" s="1642"/>
      <c r="F411" s="1642"/>
      <c r="G411" s="1642"/>
      <c r="H411" s="3047" t="s">
        <v>541</v>
      </c>
      <c r="I411" s="3047"/>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1693</v>
      </c>
      <c r="AJ413" s="3030">
        <f>VLOOKUP(H411,AT366:AU368,2,FALSE)</f>
        <v>2</v>
      </c>
      <c r="AK413" s="3032"/>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1694</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1695</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48" t="s">
        <v>1696</v>
      </c>
      <c r="F418" s="3048"/>
      <c r="G418" s="3048"/>
      <c r="H418" s="3048"/>
      <c r="I418" s="3048"/>
      <c r="J418" s="3048"/>
      <c r="K418" s="3048"/>
      <c r="L418" s="3048"/>
      <c r="M418" s="3048"/>
      <c r="N418" s="3048"/>
      <c r="O418" s="3048"/>
      <c r="P418" s="3048"/>
      <c r="Q418" s="3048"/>
      <c r="R418" s="3048"/>
      <c r="S418" s="3048"/>
      <c r="T418" s="3048"/>
      <c r="U418" s="3048"/>
      <c r="V418" s="3048"/>
      <c r="W418" s="3048"/>
      <c r="X418" s="3048"/>
      <c r="Y418" s="3048"/>
      <c r="Z418" s="3048"/>
      <c r="AA418" s="3048"/>
      <c r="AB418" s="3048"/>
      <c r="AC418" s="3048"/>
      <c r="AD418" s="926"/>
      <c r="AE418" s="926"/>
      <c r="AF418" s="3147" t="s">
        <v>1646</v>
      </c>
      <c r="AG418" s="3147"/>
      <c r="AH418" s="3147"/>
      <c r="AI418" s="3147"/>
      <c r="AJ418" s="3147"/>
      <c r="AK418" s="3147"/>
      <c r="AL418" s="3147"/>
      <c r="AN418" s="999"/>
    </row>
    <row r="419" spans="1:42" s="942" customFormat="1" ht="12.75" customHeight="1">
      <c r="B419" s="926"/>
      <c r="C419" s="985"/>
      <c r="D419" s="926"/>
      <c r="E419" s="3048"/>
      <c r="F419" s="3048"/>
      <c r="G419" s="3048"/>
      <c r="H419" s="3048"/>
      <c r="I419" s="3048"/>
      <c r="J419" s="3048"/>
      <c r="K419" s="3048"/>
      <c r="L419" s="3048"/>
      <c r="M419" s="3048"/>
      <c r="N419" s="3048"/>
      <c r="O419" s="3048"/>
      <c r="P419" s="3048"/>
      <c r="Q419" s="3048"/>
      <c r="R419" s="3048"/>
      <c r="S419" s="3048"/>
      <c r="T419" s="3048"/>
      <c r="U419" s="3048"/>
      <c r="V419" s="3048"/>
      <c r="W419" s="3048"/>
      <c r="X419" s="3048"/>
      <c r="Y419" s="3048"/>
      <c r="Z419" s="3048"/>
      <c r="AA419" s="3048"/>
      <c r="AB419" s="3048"/>
      <c r="AC419" s="3048"/>
      <c r="AD419" s="926"/>
      <c r="AE419" s="926"/>
      <c r="AF419" s="926"/>
      <c r="AG419" s="926"/>
      <c r="AH419" s="926"/>
      <c r="AI419" s="926"/>
      <c r="AJ419" s="926"/>
      <c r="AK419" s="926"/>
      <c r="AL419" s="926"/>
      <c r="AN419" s="999"/>
    </row>
    <row r="420" spans="1:42" s="942" customFormat="1" ht="12.75" customHeight="1">
      <c r="B420" s="926"/>
      <c r="C420" s="985"/>
      <c r="D420" s="1105"/>
      <c r="E420" s="3048"/>
      <c r="F420" s="3048"/>
      <c r="G420" s="3048"/>
      <c r="H420" s="3048"/>
      <c r="I420" s="3048"/>
      <c r="J420" s="3048"/>
      <c r="K420" s="3048"/>
      <c r="L420" s="3048"/>
      <c r="M420" s="3048"/>
      <c r="N420" s="3048"/>
      <c r="O420" s="3048"/>
      <c r="P420" s="3048"/>
      <c r="Q420" s="3048"/>
      <c r="R420" s="3048"/>
      <c r="S420" s="3048"/>
      <c r="T420" s="3048"/>
      <c r="U420" s="3048"/>
      <c r="V420" s="3048"/>
      <c r="W420" s="3048"/>
      <c r="X420" s="3048"/>
      <c r="Y420" s="3048"/>
      <c r="Z420" s="3048"/>
      <c r="AA420" s="3048"/>
      <c r="AB420" s="3048"/>
      <c r="AC420" s="3048"/>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048" t="s">
        <v>1697</v>
      </c>
      <c r="F422" s="3048"/>
      <c r="G422" s="3048"/>
      <c r="H422" s="3048"/>
      <c r="I422" s="3048"/>
      <c r="J422" s="3048"/>
      <c r="K422" s="3048"/>
      <c r="L422" s="3048"/>
      <c r="M422" s="3048"/>
      <c r="N422" s="3048"/>
      <c r="O422" s="3048"/>
      <c r="P422" s="3048"/>
      <c r="Q422" s="3048"/>
      <c r="R422" s="3048"/>
      <c r="S422" s="3048"/>
      <c r="T422" s="3048"/>
      <c r="U422" s="3048"/>
      <c r="V422" s="3048"/>
      <c r="W422" s="3048"/>
      <c r="X422" s="3048"/>
      <c r="Y422" s="3048"/>
      <c r="Z422" s="3048"/>
      <c r="AA422" s="3048"/>
      <c r="AB422" s="3048"/>
      <c r="AC422" s="3048"/>
      <c r="AD422" s="926"/>
      <c r="AE422" s="926"/>
      <c r="AF422" s="3147" t="s">
        <v>1675</v>
      </c>
      <c r="AG422" s="3147"/>
      <c r="AH422" s="3147"/>
      <c r="AI422" s="3147"/>
      <c r="AJ422" s="3147"/>
      <c r="AK422" s="3147"/>
      <c r="AL422" s="3147"/>
      <c r="AN422" s="999"/>
    </row>
    <row r="423" spans="1:42" s="942" customFormat="1" ht="12.75" customHeight="1">
      <c r="B423" s="926"/>
      <c r="C423" s="985"/>
      <c r="D423" s="926"/>
      <c r="E423" s="3048"/>
      <c r="F423" s="3048"/>
      <c r="G423" s="3048"/>
      <c r="H423" s="3048"/>
      <c r="I423" s="3048"/>
      <c r="J423" s="3048"/>
      <c r="K423" s="3048"/>
      <c r="L423" s="3048"/>
      <c r="M423" s="3048"/>
      <c r="N423" s="3048"/>
      <c r="O423" s="3048"/>
      <c r="P423" s="3048"/>
      <c r="Q423" s="3048"/>
      <c r="R423" s="3048"/>
      <c r="S423" s="3048"/>
      <c r="T423" s="3048"/>
      <c r="U423" s="3048"/>
      <c r="V423" s="3048"/>
      <c r="W423" s="3048"/>
      <c r="X423" s="3048"/>
      <c r="Y423" s="3048"/>
      <c r="Z423" s="3048"/>
      <c r="AA423" s="3048"/>
      <c r="AB423" s="3048"/>
      <c r="AC423" s="3048"/>
      <c r="AD423" s="926"/>
      <c r="AE423" s="926"/>
      <c r="AF423" s="926"/>
      <c r="AG423" s="926"/>
      <c r="AH423" s="926"/>
      <c r="AI423" s="926"/>
      <c r="AJ423" s="926"/>
      <c r="AK423" s="926"/>
      <c r="AL423" s="926"/>
      <c r="AN423" s="999"/>
    </row>
    <row r="424" spans="1:42" s="942" customFormat="1" ht="15" customHeight="1">
      <c r="B424" s="926"/>
      <c r="C424" s="985"/>
      <c r="D424" s="1105"/>
      <c r="E424" s="3048"/>
      <c r="F424" s="3048"/>
      <c r="G424" s="3048"/>
      <c r="H424" s="3048"/>
      <c r="I424" s="3048"/>
      <c r="J424" s="3048"/>
      <c r="K424" s="3048"/>
      <c r="L424" s="3048"/>
      <c r="M424" s="3048"/>
      <c r="N424" s="3048"/>
      <c r="O424" s="3048"/>
      <c r="P424" s="3048"/>
      <c r="Q424" s="3048"/>
      <c r="R424" s="3048"/>
      <c r="S424" s="3048"/>
      <c r="T424" s="3048"/>
      <c r="U424" s="3048"/>
      <c r="V424" s="3048"/>
      <c r="W424" s="3048"/>
      <c r="X424" s="3048"/>
      <c r="Y424" s="3048"/>
      <c r="Z424" s="3048"/>
      <c r="AA424" s="3048"/>
      <c r="AB424" s="3048"/>
      <c r="AC424" s="3048"/>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283</v>
      </c>
      <c r="E426" s="3048" t="s">
        <v>1698</v>
      </c>
      <c r="F426" s="3048"/>
      <c r="G426" s="3048"/>
      <c r="H426" s="3048"/>
      <c r="I426" s="3048"/>
      <c r="J426" s="3048"/>
      <c r="K426" s="3048"/>
      <c r="L426" s="3048"/>
      <c r="M426" s="3048"/>
      <c r="N426" s="3048"/>
      <c r="O426" s="3048"/>
      <c r="P426" s="3048"/>
      <c r="Q426" s="3048"/>
      <c r="R426" s="3048"/>
      <c r="S426" s="3048"/>
      <c r="T426" s="3048"/>
      <c r="U426" s="3048"/>
      <c r="V426" s="3048"/>
      <c r="W426" s="3048"/>
      <c r="X426" s="3048"/>
      <c r="Y426" s="3048"/>
      <c r="Z426" s="3048"/>
      <c r="AA426" s="3048"/>
      <c r="AB426" s="3048"/>
      <c r="AC426" s="3048"/>
      <c r="AD426" s="926"/>
      <c r="AE426" s="926"/>
      <c r="AF426" s="3147" t="s">
        <v>1620</v>
      </c>
      <c r="AG426" s="3147"/>
      <c r="AH426" s="3147"/>
      <c r="AI426" s="3147"/>
      <c r="AJ426" s="3147"/>
      <c r="AK426" s="3147"/>
      <c r="AL426" s="3147"/>
      <c r="AN426" s="999"/>
    </row>
    <row r="427" spans="1:42" s="942" customFormat="1" ht="12.75" customHeight="1">
      <c r="A427" s="1059"/>
      <c r="B427" s="1022"/>
      <c r="C427" s="1639"/>
      <c r="D427" s="926"/>
      <c r="E427" s="3048"/>
      <c r="F427" s="3048"/>
      <c r="G427" s="3048"/>
      <c r="H427" s="3048"/>
      <c r="I427" s="3048"/>
      <c r="J427" s="3048"/>
      <c r="K427" s="3048"/>
      <c r="L427" s="3048"/>
      <c r="M427" s="3048"/>
      <c r="N427" s="3048"/>
      <c r="O427" s="3048"/>
      <c r="P427" s="3048"/>
      <c r="Q427" s="3048"/>
      <c r="R427" s="3048"/>
      <c r="S427" s="3048"/>
      <c r="T427" s="3048"/>
      <c r="U427" s="3048"/>
      <c r="V427" s="3048"/>
      <c r="W427" s="3048"/>
      <c r="X427" s="3048"/>
      <c r="Y427" s="3048"/>
      <c r="Z427" s="3048"/>
      <c r="AA427" s="3048"/>
      <c r="AB427" s="3048"/>
      <c r="AC427" s="3048"/>
      <c r="AD427" s="926"/>
      <c r="AE427" s="3147"/>
      <c r="AF427" s="3147"/>
      <c r="AG427" s="3147"/>
      <c r="AH427" s="3147"/>
      <c r="AI427" s="3147"/>
      <c r="AJ427" s="3147"/>
      <c r="AK427" s="3147"/>
      <c r="AL427" s="1595"/>
      <c r="AM427" s="1025"/>
      <c r="AN427" s="999"/>
      <c r="AO427" s="942" t="s">
        <v>625</v>
      </c>
      <c r="AP427" s="1119">
        <v>0</v>
      </c>
    </row>
    <row r="428" spans="1:42" s="942" customFormat="1" ht="12.75" customHeight="1">
      <c r="A428" s="1125"/>
      <c r="B428" s="926"/>
      <c r="C428" s="926"/>
      <c r="D428" s="1105"/>
      <c r="E428" s="3048"/>
      <c r="F428" s="3048"/>
      <c r="G428" s="3048"/>
      <c r="H428" s="3048"/>
      <c r="I428" s="3048"/>
      <c r="J428" s="3048"/>
      <c r="K428" s="3048"/>
      <c r="L428" s="3048"/>
      <c r="M428" s="3048"/>
      <c r="N428" s="3048"/>
      <c r="O428" s="3048"/>
      <c r="P428" s="3048"/>
      <c r="Q428" s="3048"/>
      <c r="R428" s="3048"/>
      <c r="S428" s="3048"/>
      <c r="T428" s="3048"/>
      <c r="U428" s="3048"/>
      <c r="V428" s="3048"/>
      <c r="W428" s="3048"/>
      <c r="X428" s="3048"/>
      <c r="Y428" s="3048"/>
      <c r="Z428" s="3048"/>
      <c r="AA428" s="3048"/>
      <c r="AB428" s="3048"/>
      <c r="AC428" s="3048"/>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1673</v>
      </c>
      <c r="E430" s="3048" t="s">
        <v>1699</v>
      </c>
      <c r="F430" s="3048"/>
      <c r="G430" s="3048"/>
      <c r="H430" s="3048"/>
      <c r="I430" s="3048"/>
      <c r="J430" s="3048"/>
      <c r="K430" s="3048"/>
      <c r="L430" s="3048"/>
      <c r="M430" s="3048"/>
      <c r="N430" s="3048"/>
      <c r="O430" s="3048"/>
      <c r="P430" s="3048"/>
      <c r="Q430" s="3048"/>
      <c r="R430" s="3048"/>
      <c r="S430" s="3048"/>
      <c r="T430" s="3048"/>
      <c r="U430" s="3048"/>
      <c r="V430" s="3048"/>
      <c r="W430" s="3048"/>
      <c r="X430" s="3048"/>
      <c r="Y430" s="3048"/>
      <c r="Z430" s="3048"/>
      <c r="AA430" s="3048"/>
      <c r="AB430" s="3048"/>
      <c r="AC430" s="3048"/>
      <c r="AD430" s="926"/>
      <c r="AE430" s="926"/>
      <c r="AF430" s="3147" t="s">
        <v>1675</v>
      </c>
      <c r="AG430" s="3147"/>
      <c r="AH430" s="3147"/>
      <c r="AI430" s="3147"/>
      <c r="AJ430" s="3147"/>
      <c r="AK430" s="3147"/>
      <c r="AL430" s="3147"/>
      <c r="AN430" s="999"/>
    </row>
    <row r="431" spans="1:42" s="942" customFormat="1" ht="12.75" customHeight="1">
      <c r="A431" s="1114"/>
      <c r="B431" s="1022"/>
      <c r="C431" s="1655"/>
      <c r="D431" s="1105"/>
      <c r="E431" s="3048"/>
      <c r="F431" s="3048"/>
      <c r="G431" s="3048"/>
      <c r="H431" s="3048"/>
      <c r="I431" s="3048"/>
      <c r="J431" s="3048"/>
      <c r="K431" s="3048"/>
      <c r="L431" s="3048"/>
      <c r="M431" s="3048"/>
      <c r="N431" s="3048"/>
      <c r="O431" s="3048"/>
      <c r="P431" s="3048"/>
      <c r="Q431" s="3048"/>
      <c r="R431" s="3048"/>
      <c r="S431" s="3048"/>
      <c r="T431" s="3048"/>
      <c r="U431" s="3048"/>
      <c r="V431" s="3048"/>
      <c r="W431" s="3048"/>
      <c r="X431" s="3048"/>
      <c r="Y431" s="3048"/>
      <c r="Z431" s="3048"/>
      <c r="AA431" s="3048"/>
      <c r="AB431" s="3048"/>
      <c r="AC431" s="3048"/>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48"/>
      <c r="F432" s="3048"/>
      <c r="G432" s="3048"/>
      <c r="H432" s="3048"/>
      <c r="I432" s="3048"/>
      <c r="J432" s="3048"/>
      <c r="K432" s="3048"/>
      <c r="L432" s="3048"/>
      <c r="M432" s="3048"/>
      <c r="N432" s="3048"/>
      <c r="O432" s="3048"/>
      <c r="P432" s="3048"/>
      <c r="Q432" s="3048"/>
      <c r="R432" s="3048"/>
      <c r="S432" s="3048"/>
      <c r="T432" s="3048"/>
      <c r="U432" s="3048"/>
      <c r="V432" s="3048"/>
      <c r="W432" s="3048"/>
      <c r="X432" s="3048"/>
      <c r="Y432" s="3048"/>
      <c r="Z432" s="3048"/>
      <c r="AA432" s="3048"/>
      <c r="AB432" s="3048"/>
      <c r="AC432" s="3048"/>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1674</v>
      </c>
      <c r="E434" s="3048" t="s">
        <v>1700</v>
      </c>
      <c r="F434" s="3048"/>
      <c r="G434" s="3048"/>
      <c r="H434" s="3048"/>
      <c r="I434" s="3048"/>
      <c r="J434" s="3048"/>
      <c r="K434" s="3048"/>
      <c r="L434" s="3048"/>
      <c r="M434" s="3048"/>
      <c r="N434" s="3048"/>
      <c r="O434" s="3048"/>
      <c r="P434" s="3048"/>
      <c r="Q434" s="3048"/>
      <c r="R434" s="3048"/>
      <c r="S434" s="3048"/>
      <c r="T434" s="3048"/>
      <c r="U434" s="3048"/>
      <c r="V434" s="3048"/>
      <c r="W434" s="3048"/>
      <c r="X434" s="3048"/>
      <c r="Y434" s="3048"/>
      <c r="Z434" s="3048"/>
      <c r="AA434" s="3048"/>
      <c r="AB434" s="3048"/>
      <c r="AC434" s="3048"/>
      <c r="AD434" s="926"/>
      <c r="AE434" s="926"/>
      <c r="AF434" s="3147" t="s">
        <v>1620</v>
      </c>
      <c r="AG434" s="3147"/>
      <c r="AH434" s="3147"/>
      <c r="AI434" s="3147"/>
      <c r="AJ434" s="3147"/>
      <c r="AK434" s="3147"/>
      <c r="AL434" s="3147"/>
      <c r="AM434" s="1064"/>
      <c r="AN434" s="999"/>
    </row>
    <row r="435" spans="1:42" s="942" customFormat="1" ht="12.75" customHeight="1">
      <c r="A435" s="1059"/>
      <c r="B435" s="1022"/>
      <c r="C435" s="1639"/>
      <c r="D435" s="1105"/>
      <c r="E435" s="3048"/>
      <c r="F435" s="3048"/>
      <c r="G435" s="3048"/>
      <c r="H435" s="3048"/>
      <c r="I435" s="3048"/>
      <c r="J435" s="3048"/>
      <c r="K435" s="3048"/>
      <c r="L435" s="3048"/>
      <c r="M435" s="3048"/>
      <c r="N435" s="3048"/>
      <c r="O435" s="3048"/>
      <c r="P435" s="3048"/>
      <c r="Q435" s="3048"/>
      <c r="R435" s="3048"/>
      <c r="S435" s="3048"/>
      <c r="T435" s="3048"/>
      <c r="U435" s="3048"/>
      <c r="V435" s="3048"/>
      <c r="W435" s="3048"/>
      <c r="X435" s="3048"/>
      <c r="Y435" s="3048"/>
      <c r="Z435" s="3048"/>
      <c r="AA435" s="3048"/>
      <c r="AB435" s="3048"/>
      <c r="AC435" s="3048"/>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48"/>
      <c r="F436" s="3048"/>
      <c r="G436" s="3048"/>
      <c r="H436" s="3048"/>
      <c r="I436" s="3048"/>
      <c r="J436" s="3048"/>
      <c r="K436" s="3048"/>
      <c r="L436" s="3048"/>
      <c r="M436" s="3048"/>
      <c r="N436" s="3048"/>
      <c r="O436" s="3048"/>
      <c r="P436" s="3048"/>
      <c r="Q436" s="3048"/>
      <c r="R436" s="3048"/>
      <c r="S436" s="3048"/>
      <c r="T436" s="3048"/>
      <c r="U436" s="3048"/>
      <c r="V436" s="3048"/>
      <c r="W436" s="3048"/>
      <c r="X436" s="3048"/>
      <c r="Y436" s="3048"/>
      <c r="Z436" s="3048"/>
      <c r="AA436" s="3048"/>
      <c r="AB436" s="3048"/>
      <c r="AC436" s="3048"/>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1685</v>
      </c>
      <c r="E438" s="3048" t="s">
        <v>1701</v>
      </c>
      <c r="F438" s="3048"/>
      <c r="G438" s="3048"/>
      <c r="H438" s="3048"/>
      <c r="I438" s="3048"/>
      <c r="J438" s="3048"/>
      <c r="K438" s="3048"/>
      <c r="L438" s="3048"/>
      <c r="M438" s="3048"/>
      <c r="N438" s="3048"/>
      <c r="O438" s="3048"/>
      <c r="P438" s="3048"/>
      <c r="Q438" s="3048"/>
      <c r="R438" s="3048"/>
      <c r="S438" s="3048"/>
      <c r="T438" s="3048"/>
      <c r="U438" s="3048"/>
      <c r="V438" s="3048"/>
      <c r="W438" s="3048"/>
      <c r="X438" s="3048"/>
      <c r="Y438" s="3048"/>
      <c r="Z438" s="3048"/>
      <c r="AA438" s="3048"/>
      <c r="AB438" s="3048"/>
      <c r="AC438" s="3048"/>
      <c r="AD438" s="926"/>
      <c r="AE438" s="926"/>
      <c r="AF438" s="3147" t="s">
        <v>1684</v>
      </c>
      <c r="AG438" s="3147"/>
      <c r="AH438" s="3147"/>
      <c r="AI438" s="3147"/>
      <c r="AJ438" s="3147"/>
      <c r="AK438" s="3147"/>
      <c r="AL438" s="3147"/>
      <c r="AM438" s="1064"/>
      <c r="AN438" s="999"/>
    </row>
    <row r="439" spans="1:42" s="942" customFormat="1" ht="12.75" customHeight="1">
      <c r="A439" s="1598"/>
      <c r="B439" s="1005"/>
      <c r="C439" s="1636"/>
      <c r="D439" s="1105"/>
      <c r="E439" s="3048"/>
      <c r="F439" s="3048"/>
      <c r="G439" s="3048"/>
      <c r="H439" s="3048"/>
      <c r="I439" s="3048"/>
      <c r="J439" s="3048"/>
      <c r="K439" s="3048"/>
      <c r="L439" s="3048"/>
      <c r="M439" s="3048"/>
      <c r="N439" s="3048"/>
      <c r="O439" s="3048"/>
      <c r="P439" s="3048"/>
      <c r="Q439" s="3048"/>
      <c r="R439" s="3048"/>
      <c r="S439" s="3048"/>
      <c r="T439" s="3048"/>
      <c r="U439" s="3048"/>
      <c r="V439" s="3048"/>
      <c r="W439" s="3048"/>
      <c r="X439" s="3048"/>
      <c r="Y439" s="3048"/>
      <c r="Z439" s="3048"/>
      <c r="AA439" s="3048"/>
      <c r="AB439" s="3048"/>
      <c r="AC439" s="3048"/>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48"/>
      <c r="F440" s="3048"/>
      <c r="G440" s="3048"/>
      <c r="H440" s="3048"/>
      <c r="I440" s="3048"/>
      <c r="J440" s="3048"/>
      <c r="K440" s="3048"/>
      <c r="L440" s="3048"/>
      <c r="M440" s="3048"/>
      <c r="N440" s="3048"/>
      <c r="O440" s="3048"/>
      <c r="P440" s="3048"/>
      <c r="Q440" s="3048"/>
      <c r="R440" s="3048"/>
      <c r="S440" s="3048"/>
      <c r="T440" s="3048"/>
      <c r="U440" s="3048"/>
      <c r="V440" s="3048"/>
      <c r="W440" s="3048"/>
      <c r="X440" s="3048"/>
      <c r="Y440" s="3048"/>
      <c r="Z440" s="3048"/>
      <c r="AA440" s="3048"/>
      <c r="AB440" s="3048"/>
      <c r="AC440" s="3048"/>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1687</v>
      </c>
      <c r="E442" s="3048" t="s">
        <v>1702</v>
      </c>
      <c r="F442" s="3048"/>
      <c r="G442" s="3048"/>
      <c r="H442" s="3048"/>
      <c r="I442" s="3048"/>
      <c r="J442" s="3048"/>
      <c r="K442" s="3048"/>
      <c r="L442" s="3048"/>
      <c r="M442" s="3048"/>
      <c r="N442" s="3048"/>
      <c r="O442" s="3048"/>
      <c r="P442" s="3048"/>
      <c r="Q442" s="3048"/>
      <c r="R442" s="3048"/>
      <c r="S442" s="3048"/>
      <c r="T442" s="3048"/>
      <c r="U442" s="3048"/>
      <c r="V442" s="3048"/>
      <c r="W442" s="3048"/>
      <c r="X442" s="3048"/>
      <c r="Y442" s="3048"/>
      <c r="Z442" s="3048"/>
      <c r="AA442" s="3048"/>
      <c r="AB442" s="3048"/>
      <c r="AC442" s="3048"/>
      <c r="AD442" s="926"/>
      <c r="AE442" s="926"/>
      <c r="AF442" s="3147" t="s">
        <v>1703</v>
      </c>
      <c r="AG442" s="3147"/>
      <c r="AH442" s="3147"/>
      <c r="AI442" s="3147"/>
      <c r="AJ442" s="3147"/>
      <c r="AK442" s="3147"/>
      <c r="AL442" s="3147"/>
      <c r="AM442" s="1064"/>
      <c r="AN442" s="999"/>
      <c r="AO442" s="1117" t="s">
        <v>724</v>
      </c>
      <c r="AP442" s="942">
        <v>3</v>
      </c>
    </row>
    <row r="443" spans="1:42" s="942" customFormat="1" ht="12.75" customHeight="1">
      <c r="A443" s="1598"/>
      <c r="B443" s="1005"/>
      <c r="C443" s="1636"/>
      <c r="D443" s="1105"/>
      <c r="E443" s="3048"/>
      <c r="F443" s="3048"/>
      <c r="G443" s="3048"/>
      <c r="H443" s="3048"/>
      <c r="I443" s="3048"/>
      <c r="J443" s="3048"/>
      <c r="K443" s="3048"/>
      <c r="L443" s="3048"/>
      <c r="M443" s="3048"/>
      <c r="N443" s="3048"/>
      <c r="O443" s="3048"/>
      <c r="P443" s="3048"/>
      <c r="Q443" s="3048"/>
      <c r="R443" s="3048"/>
      <c r="S443" s="3048"/>
      <c r="T443" s="3048"/>
      <c r="U443" s="3048"/>
      <c r="V443" s="3048"/>
      <c r="W443" s="3048"/>
      <c r="X443" s="3048"/>
      <c r="Y443" s="3048"/>
      <c r="Z443" s="3048"/>
      <c r="AA443" s="3048"/>
      <c r="AB443" s="3048"/>
      <c r="AC443" s="3048"/>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048"/>
      <c r="F444" s="3048"/>
      <c r="G444" s="3048"/>
      <c r="H444" s="3048"/>
      <c r="I444" s="3048"/>
      <c r="J444" s="3048"/>
      <c r="K444" s="3048"/>
      <c r="L444" s="3048"/>
      <c r="M444" s="3048"/>
      <c r="N444" s="3048"/>
      <c r="O444" s="3048"/>
      <c r="P444" s="3048"/>
      <c r="Q444" s="3048"/>
      <c r="R444" s="3048"/>
      <c r="S444" s="3048"/>
      <c r="T444" s="3048"/>
      <c r="U444" s="3048"/>
      <c r="V444" s="3048"/>
      <c r="W444" s="3048"/>
      <c r="X444" s="3048"/>
      <c r="Y444" s="3048"/>
      <c r="Z444" s="3048"/>
      <c r="AA444" s="3048"/>
      <c r="AB444" s="3048"/>
      <c r="AC444" s="3048"/>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1676</v>
      </c>
      <c r="E446" s="1642"/>
      <c r="F446" s="1642"/>
      <c r="G446" s="1642"/>
      <c r="H446" s="3047" t="s">
        <v>625</v>
      </c>
      <c r="I446" s="3047"/>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1704</v>
      </c>
      <c r="AJ448" s="3030">
        <f>VLOOKUP($H$446,$AO$394:$AP$401,2,FALSE)</f>
        <v>0</v>
      </c>
      <c r="AK448" s="3032"/>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1705</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048" t="s">
        <v>2186</v>
      </c>
      <c r="F452" s="3048"/>
      <c r="G452" s="3048"/>
      <c r="H452" s="3048"/>
      <c r="I452" s="3048"/>
      <c r="J452" s="3048"/>
      <c r="K452" s="3048"/>
      <c r="L452" s="3048"/>
      <c r="M452" s="3048"/>
      <c r="N452" s="3048"/>
      <c r="O452" s="3048"/>
      <c r="P452" s="3048"/>
      <c r="Q452" s="3048"/>
      <c r="R452" s="3048"/>
      <c r="S452" s="3048"/>
      <c r="T452" s="3048"/>
      <c r="U452" s="3048"/>
      <c r="V452" s="3048"/>
      <c r="W452" s="3048"/>
      <c r="X452" s="3048"/>
      <c r="Y452" s="3048"/>
      <c r="Z452" s="3048"/>
      <c r="AA452" s="3048"/>
      <c r="AB452" s="3048"/>
      <c r="AC452" s="926"/>
      <c r="AD452" s="926"/>
      <c r="AE452" s="929"/>
      <c r="AF452" s="3147" t="s">
        <v>1620</v>
      </c>
      <c r="AG452" s="3147"/>
      <c r="AH452" s="3147"/>
      <c r="AI452" s="3147"/>
      <c r="AJ452" s="3147"/>
      <c r="AK452" s="3147"/>
      <c r="AL452" s="3147"/>
      <c r="AM452" s="1025"/>
      <c r="AN452" s="1000"/>
    </row>
    <row r="453" spans="1:42" s="1001" customFormat="1" ht="12.75" customHeight="1">
      <c r="A453" s="1059"/>
      <c r="B453" s="1022"/>
      <c r="C453" s="1648"/>
      <c r="D453" s="1105"/>
      <c r="E453" s="3048"/>
      <c r="F453" s="3048"/>
      <c r="G453" s="3048"/>
      <c r="H453" s="3048"/>
      <c r="I453" s="3048"/>
      <c r="J453" s="3048"/>
      <c r="K453" s="3048"/>
      <c r="L453" s="3048"/>
      <c r="M453" s="3048"/>
      <c r="N453" s="3048"/>
      <c r="O453" s="3048"/>
      <c r="P453" s="3048"/>
      <c r="Q453" s="3048"/>
      <c r="R453" s="3048"/>
      <c r="S453" s="3048"/>
      <c r="T453" s="3048"/>
      <c r="U453" s="3048"/>
      <c r="V453" s="3048"/>
      <c r="W453" s="3048"/>
      <c r="X453" s="3048"/>
      <c r="Y453" s="3048"/>
      <c r="Z453" s="3048"/>
      <c r="AA453" s="3048"/>
      <c r="AB453" s="3048"/>
      <c r="AC453" s="926"/>
      <c r="AD453" s="926"/>
      <c r="AE453" s="1034"/>
      <c r="AF453" s="929"/>
      <c r="AG453" s="929"/>
      <c r="AH453" s="929"/>
      <c r="AI453" s="929"/>
      <c r="AJ453" s="929"/>
      <c r="AK453" s="929"/>
      <c r="AL453" s="929"/>
      <c r="AM453" s="1025"/>
      <c r="AN453" s="1000"/>
      <c r="AO453" s="3151"/>
      <c r="AP453" s="3151"/>
    </row>
    <row r="454" spans="1:42" s="1001" customFormat="1" ht="12.75" customHeight="1">
      <c r="A454" s="1059"/>
      <c r="B454" s="1022"/>
      <c r="C454" s="1648"/>
      <c r="D454" s="1105"/>
      <c r="E454" s="3048"/>
      <c r="F454" s="3048"/>
      <c r="G454" s="3048"/>
      <c r="H454" s="3048"/>
      <c r="I454" s="3048"/>
      <c r="J454" s="3048"/>
      <c r="K454" s="3048"/>
      <c r="L454" s="3048"/>
      <c r="M454" s="3048"/>
      <c r="N454" s="3048"/>
      <c r="O454" s="3048"/>
      <c r="P454" s="3048"/>
      <c r="Q454" s="3048"/>
      <c r="R454" s="3048"/>
      <c r="S454" s="3048"/>
      <c r="T454" s="3048"/>
      <c r="U454" s="3048"/>
      <c r="V454" s="3048"/>
      <c r="W454" s="3048"/>
      <c r="X454" s="3048"/>
      <c r="Y454" s="3048"/>
      <c r="Z454" s="3048"/>
      <c r="AA454" s="3048"/>
      <c r="AB454" s="3048"/>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48"/>
      <c r="F455" s="3048"/>
      <c r="G455" s="3048"/>
      <c r="H455" s="3048"/>
      <c r="I455" s="3048"/>
      <c r="J455" s="3048"/>
      <c r="K455" s="3048"/>
      <c r="L455" s="3048"/>
      <c r="M455" s="3048"/>
      <c r="N455" s="3048"/>
      <c r="O455" s="3048"/>
      <c r="P455" s="3048"/>
      <c r="Q455" s="3048"/>
      <c r="R455" s="3048"/>
      <c r="S455" s="3048"/>
      <c r="T455" s="3048"/>
      <c r="U455" s="3048"/>
      <c r="V455" s="3048"/>
      <c r="W455" s="3048"/>
      <c r="X455" s="3048"/>
      <c r="Y455" s="3048"/>
      <c r="Z455" s="3048"/>
      <c r="AA455" s="3048"/>
      <c r="AB455" s="3048"/>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048" t="s">
        <v>2188</v>
      </c>
      <c r="F457" s="3048"/>
      <c r="G457" s="3048"/>
      <c r="H457" s="3048"/>
      <c r="I457" s="3048"/>
      <c r="J457" s="3048"/>
      <c r="K457" s="3048"/>
      <c r="L457" s="3048"/>
      <c r="M457" s="3048"/>
      <c r="N457" s="3048"/>
      <c r="O457" s="3048"/>
      <c r="P457" s="3048"/>
      <c r="Q457" s="3048"/>
      <c r="R457" s="3048"/>
      <c r="S457" s="3048"/>
      <c r="T457" s="3048"/>
      <c r="U457" s="3048"/>
      <c r="V457" s="3048"/>
      <c r="W457" s="3048"/>
      <c r="X457" s="3048"/>
      <c r="Y457" s="3048"/>
      <c r="Z457" s="3048"/>
      <c r="AA457" s="3048"/>
      <c r="AB457" s="3048"/>
      <c r="AC457" s="926"/>
      <c r="AD457" s="926"/>
      <c r="AE457" s="926"/>
      <c r="AF457" s="3147" t="s">
        <v>1684</v>
      </c>
      <c r="AG457" s="3147"/>
      <c r="AH457" s="3147"/>
      <c r="AI457" s="3147"/>
      <c r="AJ457" s="3147"/>
      <c r="AK457" s="3147"/>
      <c r="AL457" s="3147"/>
      <c r="AM457" s="1025"/>
      <c r="AN457" s="999"/>
      <c r="AO457" s="1117" t="s">
        <v>541</v>
      </c>
      <c r="AP457" s="942">
        <v>1</v>
      </c>
    </row>
    <row r="458" spans="1:42" s="942" customFormat="1" ht="12" customHeight="1">
      <c r="A458" s="1025"/>
      <c r="B458" s="926"/>
      <c r="C458" s="1656"/>
      <c r="D458" s="926"/>
      <c r="E458" s="3048"/>
      <c r="F458" s="3048"/>
      <c r="G458" s="3048"/>
      <c r="H458" s="3048"/>
      <c r="I458" s="3048"/>
      <c r="J458" s="3048"/>
      <c r="K458" s="3048"/>
      <c r="L458" s="3048"/>
      <c r="M458" s="3048"/>
      <c r="N458" s="3048"/>
      <c r="O458" s="3048"/>
      <c r="P458" s="3048"/>
      <c r="Q458" s="3048"/>
      <c r="R458" s="3048"/>
      <c r="S458" s="3048"/>
      <c r="T458" s="3048"/>
      <c r="U458" s="3048"/>
      <c r="V458" s="3048"/>
      <c r="W458" s="3048"/>
      <c r="X458" s="3048"/>
      <c r="Y458" s="3048"/>
      <c r="Z458" s="3048"/>
      <c r="AA458" s="3048"/>
      <c r="AB458" s="3048"/>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48"/>
      <c r="F459" s="3048"/>
      <c r="G459" s="3048"/>
      <c r="H459" s="3048"/>
      <c r="I459" s="3048"/>
      <c r="J459" s="3048"/>
      <c r="K459" s="3048"/>
      <c r="L459" s="3048"/>
      <c r="M459" s="3048"/>
      <c r="N459" s="3048"/>
      <c r="O459" s="3048"/>
      <c r="P459" s="3048"/>
      <c r="Q459" s="3048"/>
      <c r="R459" s="3048"/>
      <c r="S459" s="3048"/>
      <c r="T459" s="3048"/>
      <c r="U459" s="3048"/>
      <c r="V459" s="3048"/>
      <c r="W459" s="3048"/>
      <c r="X459" s="3048"/>
      <c r="Y459" s="3048"/>
      <c r="Z459" s="3048"/>
      <c r="AA459" s="3048"/>
      <c r="AB459" s="3048"/>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48"/>
      <c r="F460" s="3048"/>
      <c r="G460" s="3048"/>
      <c r="H460" s="3048"/>
      <c r="I460" s="3048"/>
      <c r="J460" s="3048"/>
      <c r="K460" s="3048"/>
      <c r="L460" s="3048"/>
      <c r="M460" s="3048"/>
      <c r="N460" s="3048"/>
      <c r="O460" s="3048"/>
      <c r="P460" s="3048"/>
      <c r="Q460" s="3048"/>
      <c r="R460" s="3048"/>
      <c r="S460" s="3048"/>
      <c r="T460" s="3048"/>
      <c r="U460" s="3048"/>
      <c r="V460" s="3048"/>
      <c r="W460" s="3048"/>
      <c r="X460" s="3048"/>
      <c r="Y460" s="3048"/>
      <c r="Z460" s="3048"/>
      <c r="AA460" s="3048"/>
      <c r="AB460" s="3048"/>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48" t="s">
        <v>2187</v>
      </c>
      <c r="F462" s="3048"/>
      <c r="G462" s="3048"/>
      <c r="H462" s="3048"/>
      <c r="I462" s="3048"/>
      <c r="J462" s="3048"/>
      <c r="K462" s="3048"/>
      <c r="L462" s="3048"/>
      <c r="M462" s="3048"/>
      <c r="N462" s="3048"/>
      <c r="O462" s="3048"/>
      <c r="P462" s="3048"/>
      <c r="Q462" s="3048"/>
      <c r="R462" s="3048"/>
      <c r="S462" s="3048"/>
      <c r="T462" s="3048"/>
      <c r="U462" s="3048"/>
      <c r="V462" s="3048"/>
      <c r="W462" s="3048"/>
      <c r="X462" s="3048"/>
      <c r="Y462" s="3048"/>
      <c r="Z462" s="3048"/>
      <c r="AA462" s="3048"/>
      <c r="AB462" s="3048"/>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48"/>
      <c r="F463" s="3048"/>
      <c r="G463" s="3048"/>
      <c r="H463" s="3048"/>
      <c r="I463" s="3048"/>
      <c r="J463" s="3048"/>
      <c r="K463" s="3048"/>
      <c r="L463" s="3048"/>
      <c r="M463" s="3048"/>
      <c r="N463" s="3048"/>
      <c r="O463" s="3048"/>
      <c r="P463" s="3048"/>
      <c r="Q463" s="3048"/>
      <c r="R463" s="3048"/>
      <c r="S463" s="3048"/>
      <c r="T463" s="3048"/>
      <c r="U463" s="3048"/>
      <c r="V463" s="3048"/>
      <c r="W463" s="3048"/>
      <c r="X463" s="3048"/>
      <c r="Y463" s="3048"/>
      <c r="Z463" s="3048"/>
      <c r="AA463" s="3048"/>
      <c r="AB463" s="3048"/>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48"/>
      <c r="F464" s="3048"/>
      <c r="G464" s="3048"/>
      <c r="H464" s="3048"/>
      <c r="I464" s="3048"/>
      <c r="J464" s="3048"/>
      <c r="K464" s="3048"/>
      <c r="L464" s="3048"/>
      <c r="M464" s="3048"/>
      <c r="N464" s="3048"/>
      <c r="O464" s="3048"/>
      <c r="P464" s="3048"/>
      <c r="Q464" s="3048"/>
      <c r="R464" s="3048"/>
      <c r="S464" s="3048"/>
      <c r="T464" s="3048"/>
      <c r="U464" s="3048"/>
      <c r="V464" s="3048"/>
      <c r="W464" s="3048"/>
      <c r="X464" s="3048"/>
      <c r="Y464" s="3048"/>
      <c r="Z464" s="3048"/>
      <c r="AA464" s="3048"/>
      <c r="AB464" s="3048"/>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1676</v>
      </c>
      <c r="E466" s="1642"/>
      <c r="F466" s="1642"/>
      <c r="G466" s="1642"/>
      <c r="H466" s="3047" t="s">
        <v>625</v>
      </c>
      <c r="I466" s="304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1706</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1681</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1707</v>
      </c>
      <c r="AJ468" s="3030">
        <f>VLOOKUP($H$466,$AO$413:$AP$415,2,FALSE)</f>
        <v>0</v>
      </c>
      <c r="AK468" s="3032"/>
      <c r="AL468" s="1004"/>
      <c r="AM468" s="1001"/>
      <c r="AN468" s="1132"/>
      <c r="AP468" s="1133" t="s">
        <v>1688</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1708</v>
      </c>
    </row>
    <row r="470" spans="1:43" s="1133" customFormat="1" ht="12.75" customHeight="1">
      <c r="A470" s="1025"/>
      <c r="B470" s="926"/>
      <c r="C470" s="985" t="s">
        <v>1709</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1710</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1711</v>
      </c>
    </row>
    <row r="472" spans="1:43" s="1133" customFormat="1" ht="12.75" customHeight="1">
      <c r="A472" s="1118"/>
      <c r="B472" s="926"/>
      <c r="C472" s="1636"/>
      <c r="D472" s="1105" t="s">
        <v>724</v>
      </c>
      <c r="E472" s="3149" t="s">
        <v>2191</v>
      </c>
      <c r="F472" s="3149"/>
      <c r="G472" s="3149"/>
      <c r="H472" s="3149"/>
      <c r="I472" s="3149"/>
      <c r="J472" s="3149"/>
      <c r="K472" s="3149"/>
      <c r="L472" s="3149"/>
      <c r="M472" s="3149"/>
      <c r="N472" s="3149"/>
      <c r="O472" s="3149"/>
      <c r="P472" s="3149"/>
      <c r="Q472" s="3149"/>
      <c r="R472" s="3149"/>
      <c r="S472" s="3149"/>
      <c r="T472" s="3149"/>
      <c r="U472" s="3149"/>
      <c r="V472" s="3149"/>
      <c r="W472" s="3149"/>
      <c r="X472" s="3149"/>
      <c r="Y472" s="3149"/>
      <c r="Z472" s="3149"/>
      <c r="AA472" s="3149"/>
      <c r="AB472" s="3149"/>
      <c r="AC472" s="926"/>
      <c r="AD472" s="926"/>
      <c r="AE472" s="926"/>
      <c r="AF472" s="3147" t="s">
        <v>1620</v>
      </c>
      <c r="AG472" s="3147"/>
      <c r="AH472" s="3147"/>
      <c r="AI472" s="3147"/>
      <c r="AJ472" s="3147"/>
      <c r="AK472" s="3147"/>
      <c r="AL472" s="3147"/>
      <c r="AM472" s="1025"/>
      <c r="AN472" s="1132"/>
      <c r="AP472" s="1134" t="s">
        <v>1712</v>
      </c>
    </row>
    <row r="473" spans="1:43" s="1133" customFormat="1" ht="12" customHeight="1">
      <c r="A473" s="1059"/>
      <c r="B473" s="1022"/>
      <c r="C473" s="1638"/>
      <c r="D473" s="1105"/>
      <c r="E473" s="3149"/>
      <c r="F473" s="3149"/>
      <c r="G473" s="3149"/>
      <c r="H473" s="3149"/>
      <c r="I473" s="3149"/>
      <c r="J473" s="3149"/>
      <c r="K473" s="3149"/>
      <c r="L473" s="3149"/>
      <c r="M473" s="3149"/>
      <c r="N473" s="3149"/>
      <c r="O473" s="3149"/>
      <c r="P473" s="3149"/>
      <c r="Q473" s="3149"/>
      <c r="R473" s="3149"/>
      <c r="S473" s="3149"/>
      <c r="T473" s="3149"/>
      <c r="U473" s="3149"/>
      <c r="V473" s="3149"/>
      <c r="W473" s="3149"/>
      <c r="X473" s="3149"/>
      <c r="Y473" s="3149"/>
      <c r="Z473" s="3149"/>
      <c r="AA473" s="3149"/>
      <c r="AB473" s="3149"/>
      <c r="AC473" s="926"/>
      <c r="AD473" s="926"/>
      <c r="AE473" s="1022"/>
      <c r="AF473" s="926"/>
      <c r="AG473" s="926"/>
      <c r="AH473" s="926"/>
      <c r="AI473" s="926"/>
      <c r="AJ473" s="926"/>
      <c r="AK473" s="926"/>
      <c r="AL473" s="926"/>
      <c r="AM473" s="1025"/>
      <c r="AN473" s="1132"/>
      <c r="AP473" s="1134" t="s">
        <v>1713</v>
      </c>
    </row>
    <row r="474" spans="1:43" s="1133" customFormat="1" ht="14" customHeight="1">
      <c r="A474" s="1059"/>
      <c r="B474" s="1023"/>
      <c r="C474" s="1639"/>
      <c r="D474" s="1105"/>
      <c r="E474" s="3149"/>
      <c r="F474" s="3149"/>
      <c r="G474" s="3149"/>
      <c r="H474" s="3149"/>
      <c r="I474" s="3149"/>
      <c r="J474" s="3149"/>
      <c r="K474" s="3149"/>
      <c r="L474" s="3149"/>
      <c r="M474" s="3149"/>
      <c r="N474" s="3149"/>
      <c r="O474" s="3149"/>
      <c r="P474" s="3149"/>
      <c r="Q474" s="3149"/>
      <c r="R474" s="3149"/>
      <c r="S474" s="3149"/>
      <c r="T474" s="3149"/>
      <c r="U474" s="3149"/>
      <c r="V474" s="3149"/>
      <c r="W474" s="3149"/>
      <c r="X474" s="3149"/>
      <c r="Y474" s="3149"/>
      <c r="Z474" s="3149"/>
      <c r="AA474" s="3149"/>
      <c r="AB474" s="3149"/>
      <c r="AC474" s="926"/>
      <c r="AD474" s="926"/>
      <c r="AE474" s="1034"/>
      <c r="AF474" s="926"/>
      <c r="AG474" s="926"/>
      <c r="AH474" s="926"/>
      <c r="AI474" s="926"/>
      <c r="AJ474" s="926"/>
      <c r="AK474" s="926"/>
      <c r="AL474" s="926"/>
      <c r="AM474" s="1025"/>
      <c r="AN474" s="1132"/>
      <c r="AP474" s="1134" t="s">
        <v>1714</v>
      </c>
    </row>
    <row r="475" spans="1:43" s="1133" customFormat="1" ht="14"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1716</v>
      </c>
    </row>
    <row r="476" spans="1:43" s="1133" customFormat="1" ht="14" customHeight="1">
      <c r="A476" s="1059"/>
      <c r="B476" s="1005"/>
      <c r="C476" s="1636"/>
      <c r="D476" s="1105" t="s">
        <v>541</v>
      </c>
      <c r="E476" s="3150" t="s">
        <v>1715</v>
      </c>
      <c r="F476" s="3150"/>
      <c r="G476" s="3150"/>
      <c r="H476" s="3150"/>
      <c r="I476" s="3150"/>
      <c r="J476" s="3150"/>
      <c r="K476" s="3150"/>
      <c r="L476" s="3150"/>
      <c r="M476" s="3150"/>
      <c r="N476" s="3150"/>
      <c r="O476" s="3150"/>
      <c r="P476" s="3150"/>
      <c r="Q476" s="3150"/>
      <c r="R476" s="3150"/>
      <c r="S476" s="3150"/>
      <c r="T476" s="3150"/>
      <c r="U476" s="3150"/>
      <c r="V476" s="3150"/>
      <c r="W476" s="3150"/>
      <c r="X476" s="3150"/>
      <c r="Y476" s="3150"/>
      <c r="Z476" s="3150"/>
      <c r="AA476" s="3150"/>
      <c r="AB476" s="3150"/>
      <c r="AC476" s="926"/>
      <c r="AD476" s="926"/>
      <c r="AE476" s="926"/>
      <c r="AF476" s="3147" t="s">
        <v>1684</v>
      </c>
      <c r="AG476" s="3147"/>
      <c r="AH476" s="3147"/>
      <c r="AI476" s="3147"/>
      <c r="AJ476" s="3147"/>
      <c r="AK476" s="3147"/>
      <c r="AL476" s="3147"/>
      <c r="AM476" s="1025"/>
      <c r="AN476" s="1135"/>
    </row>
    <row r="477" spans="1:43" s="1133" customFormat="1" ht="12.75" customHeight="1">
      <c r="A477" s="1059"/>
      <c r="B477" s="1022"/>
      <c r="C477" s="1638"/>
      <c r="D477" s="1022"/>
      <c r="E477" s="3150"/>
      <c r="F477" s="3150"/>
      <c r="G477" s="3150"/>
      <c r="H477" s="3150"/>
      <c r="I477" s="3150"/>
      <c r="J477" s="3150"/>
      <c r="K477" s="3150"/>
      <c r="L477" s="3150"/>
      <c r="M477" s="3150"/>
      <c r="N477" s="3150"/>
      <c r="O477" s="3150"/>
      <c r="P477" s="3150"/>
      <c r="Q477" s="3150"/>
      <c r="R477" s="3150"/>
      <c r="S477" s="3150"/>
      <c r="T477" s="3150"/>
      <c r="U477" s="3150"/>
      <c r="V477" s="3150"/>
      <c r="W477" s="3150"/>
      <c r="X477" s="3150"/>
      <c r="Y477" s="3150"/>
      <c r="Z477" s="3150"/>
      <c r="AA477" s="3150"/>
      <c r="AB477" s="3150"/>
      <c r="AC477" s="1022"/>
      <c r="AD477" s="1022"/>
      <c r="AE477" s="1022"/>
      <c r="AF477" s="1022"/>
      <c r="AG477" s="1022"/>
      <c r="AH477" s="1022"/>
      <c r="AI477" s="1022"/>
      <c r="AJ477" s="926"/>
      <c r="AK477" s="1005"/>
      <c r="AL477" s="1005"/>
      <c r="AM477" s="1025"/>
      <c r="AN477" s="1132"/>
      <c r="AP477" s="942" t="s">
        <v>625</v>
      </c>
      <c r="AQ477" s="1119">
        <v>0</v>
      </c>
    </row>
    <row r="478" spans="1:43" s="1133" customFormat="1" ht="14" customHeight="1">
      <c r="A478" s="1059"/>
      <c r="B478" s="1022"/>
      <c r="C478" s="1638"/>
      <c r="D478" s="1022"/>
      <c r="E478" s="3150"/>
      <c r="F478" s="3150"/>
      <c r="G478" s="3150"/>
      <c r="H478" s="3150"/>
      <c r="I478" s="3150"/>
      <c r="J478" s="3150"/>
      <c r="K478" s="3150"/>
      <c r="L478" s="3150"/>
      <c r="M478" s="3150"/>
      <c r="N478" s="3150"/>
      <c r="O478" s="3150"/>
      <c r="P478" s="3150"/>
      <c r="Q478" s="3150"/>
      <c r="R478" s="3150"/>
      <c r="S478" s="3150"/>
      <c r="T478" s="3150"/>
      <c r="U478" s="3150"/>
      <c r="V478" s="3150"/>
      <c r="W478" s="3150"/>
      <c r="X478" s="3150"/>
      <c r="Y478" s="3150"/>
      <c r="Z478" s="3150"/>
      <c r="AA478" s="3150"/>
      <c r="AB478" s="3150"/>
      <c r="AC478" s="1022"/>
      <c r="AD478" s="1022"/>
      <c r="AE478" s="1022"/>
      <c r="AF478" s="1022"/>
      <c r="AG478" s="1022"/>
      <c r="AH478" s="1022"/>
      <c r="AI478" s="1022"/>
      <c r="AJ478" s="926"/>
      <c r="AK478" s="1005"/>
      <c r="AL478" s="1005"/>
      <c r="AM478" s="1025"/>
      <c r="AN478" s="1132"/>
      <c r="AP478" s="1117" t="s">
        <v>724</v>
      </c>
      <c r="AQ478" s="942">
        <v>2</v>
      </c>
    </row>
    <row r="479" spans="1:43" s="1133" customFormat="1" ht="14"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4" customHeight="1">
      <c r="A480" s="1059"/>
      <c r="B480" s="1022"/>
      <c r="C480" s="1638"/>
      <c r="D480" s="1022" t="s">
        <v>1676</v>
      </c>
      <c r="E480" s="1642"/>
      <c r="F480" s="1642"/>
      <c r="G480" s="1642"/>
      <c r="H480" s="3047" t="s">
        <v>625</v>
      </c>
      <c r="I480" s="3047"/>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1717</v>
      </c>
      <c r="AJ482" s="3030">
        <f>VLOOKUP($H$480,$AO$413:$AP$415,2,FALSE)</f>
        <v>0</v>
      </c>
      <c r="AK482" s="3032"/>
      <c r="AL482" s="1004"/>
      <c r="AM482" s="1001"/>
      <c r="AN482" s="1137"/>
      <c r="AP482" s="3030"/>
      <c r="AQ482" s="3032"/>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1718</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724</v>
      </c>
      <c r="E486" s="3048" t="s">
        <v>2192</v>
      </c>
      <c r="F486" s="3048"/>
      <c r="G486" s="3048"/>
      <c r="H486" s="3048"/>
      <c r="I486" s="3048"/>
      <c r="J486" s="3048"/>
      <c r="K486" s="3048"/>
      <c r="L486" s="3048"/>
      <c r="M486" s="3048"/>
      <c r="N486" s="3048"/>
      <c r="O486" s="3048"/>
      <c r="P486" s="3048"/>
      <c r="Q486" s="3048"/>
      <c r="R486" s="3048"/>
      <c r="S486" s="3048"/>
      <c r="T486" s="3048"/>
      <c r="U486" s="3048"/>
      <c r="V486" s="3048"/>
      <c r="W486" s="3048"/>
      <c r="X486" s="3048"/>
      <c r="Y486" s="3048"/>
      <c r="Z486" s="3048"/>
      <c r="AA486" s="3048"/>
      <c r="AB486" s="3048"/>
      <c r="AC486" s="926"/>
      <c r="AD486" s="926"/>
      <c r="AE486" s="926"/>
      <c r="AF486" s="3147" t="s">
        <v>1620</v>
      </c>
      <c r="AG486" s="3147"/>
      <c r="AH486" s="3147"/>
      <c r="AI486" s="3147"/>
      <c r="AJ486" s="3147"/>
      <c r="AK486" s="3147"/>
      <c r="AL486" s="3147"/>
      <c r="AM486" s="1025"/>
      <c r="AN486" s="1132"/>
      <c r="AT486" s="51"/>
      <c r="AU486" s="51"/>
      <c r="AV486" s="51"/>
      <c r="AW486" s="51"/>
      <c r="AX486" s="51"/>
      <c r="AY486" s="51"/>
      <c r="AZ486" s="51"/>
    </row>
    <row r="487" spans="1:81" s="1133" customFormat="1" ht="13">
      <c r="A487" s="1059"/>
      <c r="B487" s="1022"/>
      <c r="C487" s="1638"/>
      <c r="D487" s="1105"/>
      <c r="E487" s="3048"/>
      <c r="F487" s="3048"/>
      <c r="G487" s="3048"/>
      <c r="H487" s="3048"/>
      <c r="I487" s="3048"/>
      <c r="J487" s="3048"/>
      <c r="K487" s="3048"/>
      <c r="L487" s="3048"/>
      <c r="M487" s="3048"/>
      <c r="N487" s="3048"/>
      <c r="O487" s="3048"/>
      <c r="P487" s="3048"/>
      <c r="Q487" s="3048"/>
      <c r="R487" s="3048"/>
      <c r="S487" s="3048"/>
      <c r="T487" s="3048"/>
      <c r="U487" s="3048"/>
      <c r="V487" s="3048"/>
      <c r="W487" s="3048"/>
      <c r="X487" s="3048"/>
      <c r="Y487" s="3048"/>
      <c r="Z487" s="3048"/>
      <c r="AA487" s="3048"/>
      <c r="AB487" s="3048"/>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048" t="s">
        <v>1719</v>
      </c>
      <c r="F489" s="3048"/>
      <c r="G489" s="3048"/>
      <c r="H489" s="3048"/>
      <c r="I489" s="3048"/>
      <c r="J489" s="3048"/>
      <c r="K489" s="3048"/>
      <c r="L489" s="3048"/>
      <c r="M489" s="3048"/>
      <c r="N489" s="3048"/>
      <c r="O489" s="3048"/>
      <c r="P489" s="3048"/>
      <c r="Q489" s="3048"/>
      <c r="R489" s="3048"/>
      <c r="S489" s="3048"/>
      <c r="T489" s="3048"/>
      <c r="U489" s="3048"/>
      <c r="V489" s="3048"/>
      <c r="W489" s="3048"/>
      <c r="X489" s="3048"/>
      <c r="Y489" s="3048"/>
      <c r="Z489" s="3048"/>
      <c r="AA489" s="3048"/>
      <c r="AB489" s="3048"/>
      <c r="AC489" s="926"/>
      <c r="AD489" s="926"/>
      <c r="AE489" s="926"/>
      <c r="AF489" s="3147" t="s">
        <v>1684</v>
      </c>
      <c r="AG489" s="3147"/>
      <c r="AH489" s="3147"/>
      <c r="AI489" s="3147"/>
      <c r="AJ489" s="3147"/>
      <c r="AK489" s="3147"/>
      <c r="AL489" s="3147"/>
      <c r="AM489" s="1025"/>
      <c r="AN489" s="1132"/>
      <c r="AT489" s="51"/>
      <c r="AU489" s="51"/>
      <c r="AV489" s="51"/>
      <c r="AW489" s="51"/>
      <c r="AX489" s="51"/>
      <c r="AY489" s="51"/>
      <c r="AZ489" s="51"/>
    </row>
    <row r="490" spans="1:81" s="1133" customFormat="1" ht="13">
      <c r="A490" s="1059"/>
      <c r="B490" s="1022"/>
      <c r="C490" s="1638"/>
      <c r="D490" s="1022"/>
      <c r="E490" s="3048"/>
      <c r="F490" s="3048"/>
      <c r="G490" s="3048"/>
      <c r="H490" s="3048"/>
      <c r="I490" s="3048"/>
      <c r="J490" s="3048"/>
      <c r="K490" s="3048"/>
      <c r="L490" s="3048"/>
      <c r="M490" s="3048"/>
      <c r="N490" s="3048"/>
      <c r="O490" s="3048"/>
      <c r="P490" s="3048"/>
      <c r="Q490" s="3048"/>
      <c r="R490" s="3048"/>
      <c r="S490" s="3048"/>
      <c r="T490" s="3048"/>
      <c r="U490" s="3048"/>
      <c r="V490" s="3048"/>
      <c r="W490" s="3048"/>
      <c r="X490" s="3048"/>
      <c r="Y490" s="3048"/>
      <c r="Z490" s="3048"/>
      <c r="AA490" s="3048"/>
      <c r="AB490" s="3048"/>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1676</v>
      </c>
      <c r="E492" s="1642"/>
      <c r="F492" s="1642"/>
      <c r="G492" s="1642"/>
      <c r="H492" s="3047" t="s">
        <v>541</v>
      </c>
      <c r="I492" s="304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1720</v>
      </c>
      <c r="AJ494" s="3030">
        <f>VLOOKUP($H$492,$AO$427:$AP$429,2,FALSE)</f>
        <v>2</v>
      </c>
      <c r="AK494" s="3032"/>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1721</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724</v>
      </c>
      <c r="E498" s="3048" t="s">
        <v>1722</v>
      </c>
      <c r="F498" s="3048"/>
      <c r="G498" s="3048"/>
      <c r="H498" s="3048"/>
      <c r="I498" s="3048"/>
      <c r="J498" s="3048"/>
      <c r="K498" s="3048"/>
      <c r="L498" s="3048"/>
      <c r="M498" s="3048"/>
      <c r="N498" s="3048"/>
      <c r="O498" s="3048"/>
      <c r="P498" s="3048"/>
      <c r="Q498" s="3048"/>
      <c r="R498" s="3048"/>
      <c r="S498" s="3048"/>
      <c r="T498" s="3048"/>
      <c r="U498" s="3048"/>
      <c r="V498" s="3048"/>
      <c r="W498" s="3048"/>
      <c r="X498" s="3048"/>
      <c r="Y498" s="3048"/>
      <c r="Z498" s="3048"/>
      <c r="AA498" s="3048"/>
      <c r="AB498" s="3048"/>
      <c r="AC498" s="926"/>
      <c r="AD498" s="926"/>
      <c r="AE498" s="926"/>
      <c r="AF498" s="3147" t="s">
        <v>1620</v>
      </c>
      <c r="AG498" s="3147"/>
      <c r="AH498" s="3147"/>
      <c r="AI498" s="3147"/>
      <c r="AJ498" s="3147"/>
      <c r="AK498" s="3147"/>
      <c r="AL498" s="3147"/>
      <c r="AM498" s="1025"/>
      <c r="AN498" s="1132"/>
      <c r="AT498" s="51"/>
      <c r="AU498" s="51"/>
      <c r="AV498" s="51"/>
      <c r="AW498" s="51"/>
      <c r="AX498" s="51"/>
      <c r="AY498" s="51"/>
      <c r="AZ498" s="51"/>
    </row>
    <row r="499" spans="1:81" s="1133" customFormat="1" ht="13">
      <c r="A499" s="1059"/>
      <c r="B499" s="926"/>
      <c r="C499" s="1636"/>
      <c r="D499" s="1105"/>
      <c r="E499" s="3048"/>
      <c r="F499" s="3048"/>
      <c r="G499" s="3048"/>
      <c r="H499" s="3048"/>
      <c r="I499" s="3048"/>
      <c r="J499" s="3048"/>
      <c r="K499" s="3048"/>
      <c r="L499" s="3048"/>
      <c r="M499" s="3048"/>
      <c r="N499" s="3048"/>
      <c r="O499" s="3048"/>
      <c r="P499" s="3048"/>
      <c r="Q499" s="3048"/>
      <c r="R499" s="3048"/>
      <c r="S499" s="3048"/>
      <c r="T499" s="3048"/>
      <c r="U499" s="3048"/>
      <c r="V499" s="3048"/>
      <c r="W499" s="3048"/>
      <c r="X499" s="3048"/>
      <c r="Y499" s="3048"/>
      <c r="Z499" s="3048"/>
      <c r="AA499" s="3048"/>
      <c r="AB499" s="3048"/>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048"/>
      <c r="F500" s="3048"/>
      <c r="G500" s="3048"/>
      <c r="H500" s="3048"/>
      <c r="I500" s="3048"/>
      <c r="J500" s="3048"/>
      <c r="K500" s="3048"/>
      <c r="L500" s="3048"/>
      <c r="M500" s="3048"/>
      <c r="N500" s="3048"/>
      <c r="O500" s="3048"/>
      <c r="P500" s="3048"/>
      <c r="Q500" s="3048"/>
      <c r="R500" s="3048"/>
      <c r="S500" s="3048"/>
      <c r="T500" s="3048"/>
      <c r="U500" s="3048"/>
      <c r="V500" s="3048"/>
      <c r="W500" s="3048"/>
      <c r="X500" s="3048"/>
      <c r="Y500" s="3048"/>
      <c r="Z500" s="3048"/>
      <c r="AA500" s="3048"/>
      <c r="AB500" s="3048"/>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48"/>
      <c r="F501" s="3048"/>
      <c r="G501" s="3048"/>
      <c r="H501" s="3048"/>
      <c r="I501" s="3048"/>
      <c r="J501" s="3048"/>
      <c r="K501" s="3048"/>
      <c r="L501" s="3048"/>
      <c r="M501" s="3048"/>
      <c r="N501" s="3048"/>
      <c r="O501" s="3048"/>
      <c r="P501" s="3048"/>
      <c r="Q501" s="3048"/>
      <c r="R501" s="3048"/>
      <c r="S501" s="3048"/>
      <c r="T501" s="3048"/>
      <c r="U501" s="3048"/>
      <c r="V501" s="3048"/>
      <c r="W501" s="3048"/>
      <c r="X501" s="3048"/>
      <c r="Y501" s="3048"/>
      <c r="Z501" s="3048"/>
      <c r="AA501" s="3048"/>
      <c r="AB501" s="3048"/>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541</v>
      </c>
      <c r="E503" s="3048" t="s">
        <v>1723</v>
      </c>
      <c r="F503" s="3048"/>
      <c r="G503" s="3048"/>
      <c r="H503" s="3048"/>
      <c r="I503" s="3048"/>
      <c r="J503" s="3048"/>
      <c r="K503" s="3048"/>
      <c r="L503" s="3048"/>
      <c r="M503" s="3048"/>
      <c r="N503" s="3048"/>
      <c r="O503" s="3048"/>
      <c r="P503" s="3048"/>
      <c r="Q503" s="3048"/>
      <c r="R503" s="3048"/>
      <c r="S503" s="3048"/>
      <c r="T503" s="3048"/>
      <c r="U503" s="3048"/>
      <c r="V503" s="3048"/>
      <c r="W503" s="3048"/>
      <c r="X503" s="3048"/>
      <c r="Y503" s="3048"/>
      <c r="Z503" s="3048"/>
      <c r="AA503" s="3048"/>
      <c r="AB503" s="968"/>
      <c r="AC503" s="926"/>
      <c r="AD503" s="926"/>
      <c r="AE503" s="926"/>
      <c r="AF503" s="3147" t="s">
        <v>1684</v>
      </c>
      <c r="AG503" s="3147"/>
      <c r="AH503" s="3147"/>
      <c r="AI503" s="3147"/>
      <c r="AJ503" s="3147"/>
      <c r="AK503" s="3147"/>
      <c r="AL503" s="3147"/>
      <c r="AM503" s="1025"/>
      <c r="AN503" s="1132"/>
      <c r="AO503" s="126"/>
      <c r="AP503" s="51"/>
    </row>
    <row r="504" spans="1:81" s="1133" customFormat="1" ht="13">
      <c r="A504" s="1059"/>
      <c r="B504" s="1005"/>
      <c r="C504" s="1636"/>
      <c r="D504" s="1105"/>
      <c r="E504" s="3048"/>
      <c r="F504" s="3048"/>
      <c r="G504" s="3048"/>
      <c r="H504" s="3048"/>
      <c r="I504" s="3048"/>
      <c r="J504" s="3048"/>
      <c r="K504" s="3048"/>
      <c r="L504" s="3048"/>
      <c r="M504" s="3048"/>
      <c r="N504" s="3048"/>
      <c r="O504" s="3048"/>
      <c r="P504" s="3048"/>
      <c r="Q504" s="3048"/>
      <c r="R504" s="3048"/>
      <c r="S504" s="3048"/>
      <c r="T504" s="3048"/>
      <c r="U504" s="3048"/>
      <c r="V504" s="3048"/>
      <c r="W504" s="3048"/>
      <c r="X504" s="3048"/>
      <c r="Y504" s="3048"/>
      <c r="Z504" s="3048"/>
      <c r="AA504" s="3048"/>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048"/>
      <c r="F505" s="3048"/>
      <c r="G505" s="3048"/>
      <c r="H505" s="3048"/>
      <c r="I505" s="3048"/>
      <c r="J505" s="3048"/>
      <c r="K505" s="3048"/>
      <c r="L505" s="3048"/>
      <c r="M505" s="3048"/>
      <c r="N505" s="3048"/>
      <c r="O505" s="3048"/>
      <c r="P505" s="3048"/>
      <c r="Q505" s="3048"/>
      <c r="R505" s="3048"/>
      <c r="S505" s="3048"/>
      <c r="T505" s="3048"/>
      <c r="U505" s="3048"/>
      <c r="V505" s="3048"/>
      <c r="W505" s="3048"/>
      <c r="X505" s="3048"/>
      <c r="Y505" s="3048"/>
      <c r="Z505" s="3048"/>
      <c r="AA505" s="3048"/>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048"/>
      <c r="F506" s="3048"/>
      <c r="G506" s="3048"/>
      <c r="H506" s="3048"/>
      <c r="I506" s="3048"/>
      <c r="J506" s="3048"/>
      <c r="K506" s="3048"/>
      <c r="L506" s="3048"/>
      <c r="M506" s="3048"/>
      <c r="N506" s="3048"/>
      <c r="O506" s="3048"/>
      <c r="P506" s="3048"/>
      <c r="Q506" s="3048"/>
      <c r="R506" s="3048"/>
      <c r="S506" s="3048"/>
      <c r="T506" s="3048"/>
      <c r="U506" s="3048"/>
      <c r="V506" s="3048"/>
      <c r="W506" s="3048"/>
      <c r="X506" s="3048"/>
      <c r="Y506" s="3048"/>
      <c r="Z506" s="3048"/>
      <c r="AA506" s="3048"/>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1676</v>
      </c>
      <c r="E508" s="1642"/>
      <c r="F508" s="1642"/>
      <c r="G508" s="1642"/>
      <c r="H508" s="3047" t="s">
        <v>541</v>
      </c>
      <c r="I508" s="3047"/>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1724</v>
      </c>
      <c r="AJ510" s="3030">
        <f>VLOOKUP($H$508,$AO$441:$AP$443,2,FALSE)</f>
        <v>2</v>
      </c>
      <c r="AK510" s="3032"/>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1714</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724</v>
      </c>
      <c r="E514" s="3048" t="s">
        <v>1725</v>
      </c>
      <c r="F514" s="3048"/>
      <c r="G514" s="3048"/>
      <c r="H514" s="3048"/>
      <c r="I514" s="3048"/>
      <c r="J514" s="3048"/>
      <c r="K514" s="3048"/>
      <c r="L514" s="3048"/>
      <c r="M514" s="3048"/>
      <c r="N514" s="3048"/>
      <c r="O514" s="3048"/>
      <c r="P514" s="3048"/>
      <c r="Q514" s="3048"/>
      <c r="R514" s="3048"/>
      <c r="S514" s="3048"/>
      <c r="T514" s="3048"/>
      <c r="U514" s="3048"/>
      <c r="V514" s="3048"/>
      <c r="W514" s="3048"/>
      <c r="X514" s="3048"/>
      <c r="Y514" s="3048"/>
      <c r="Z514" s="3048"/>
      <c r="AA514" s="3048"/>
      <c r="AB514" s="3048"/>
      <c r="AC514" s="926"/>
      <c r="AD514" s="926"/>
      <c r="AE514" s="926"/>
      <c r="AF514" s="3147" t="s">
        <v>1684</v>
      </c>
      <c r="AG514" s="3147"/>
      <c r="AH514" s="3147"/>
      <c r="AI514" s="3147"/>
      <c r="AJ514" s="3147"/>
      <c r="AK514" s="3147"/>
      <c r="AL514" s="3147"/>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048"/>
      <c r="F515" s="3048"/>
      <c r="G515" s="3048"/>
      <c r="H515" s="3048"/>
      <c r="I515" s="3048"/>
      <c r="J515" s="3048"/>
      <c r="K515" s="3048"/>
      <c r="L515" s="3048"/>
      <c r="M515" s="3048"/>
      <c r="N515" s="3048"/>
      <c r="O515" s="3048"/>
      <c r="P515" s="3048"/>
      <c r="Q515" s="3048"/>
      <c r="R515" s="3048"/>
      <c r="S515" s="3048"/>
      <c r="T515" s="3048"/>
      <c r="U515" s="3048"/>
      <c r="V515" s="3048"/>
      <c r="W515" s="3048"/>
      <c r="X515" s="3048"/>
      <c r="Y515" s="3048"/>
      <c r="Z515" s="3048"/>
      <c r="AA515" s="3048"/>
      <c r="AB515" s="3048"/>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541</v>
      </c>
      <c r="E517" s="3048" t="s">
        <v>1726</v>
      </c>
      <c r="F517" s="3048"/>
      <c r="G517" s="3048"/>
      <c r="H517" s="3048"/>
      <c r="I517" s="3048"/>
      <c r="J517" s="3048"/>
      <c r="K517" s="3048"/>
      <c r="L517" s="3048"/>
      <c r="M517" s="3048"/>
      <c r="N517" s="3048"/>
      <c r="O517" s="3048"/>
      <c r="P517" s="3048"/>
      <c r="Q517" s="3048"/>
      <c r="R517" s="3048"/>
      <c r="S517" s="3048"/>
      <c r="T517" s="3048"/>
      <c r="U517" s="3048"/>
      <c r="V517" s="3048"/>
      <c r="W517" s="3048"/>
      <c r="X517" s="3048"/>
      <c r="Y517" s="3048"/>
      <c r="Z517" s="3048"/>
      <c r="AA517" s="3048"/>
      <c r="AB517" s="3048"/>
      <c r="AC517" s="926"/>
      <c r="AD517" s="926"/>
      <c r="AE517" s="926"/>
      <c r="AF517" s="3147" t="s">
        <v>1703</v>
      </c>
      <c r="AG517" s="3147"/>
      <c r="AH517" s="3147"/>
      <c r="AI517" s="3147"/>
      <c r="AJ517" s="3147"/>
      <c r="AK517" s="3147"/>
      <c r="AL517" s="3147"/>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48"/>
      <c r="F518" s="3048"/>
      <c r="G518" s="3048"/>
      <c r="H518" s="3048"/>
      <c r="I518" s="3048"/>
      <c r="J518" s="3048"/>
      <c r="K518" s="3048"/>
      <c r="L518" s="3048"/>
      <c r="M518" s="3048"/>
      <c r="N518" s="3048"/>
      <c r="O518" s="3048"/>
      <c r="P518" s="3048"/>
      <c r="Q518" s="3048"/>
      <c r="R518" s="3048"/>
      <c r="S518" s="3048"/>
      <c r="T518" s="3048"/>
      <c r="U518" s="3048"/>
      <c r="V518" s="3048"/>
      <c r="W518" s="3048"/>
      <c r="X518" s="3048"/>
      <c r="Y518" s="3048"/>
      <c r="Z518" s="3048"/>
      <c r="AA518" s="3048"/>
      <c r="AB518" s="3048"/>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1676</v>
      </c>
      <c r="E520" s="1642"/>
      <c r="F520" s="1642"/>
      <c r="G520" s="1642"/>
      <c r="H520" s="3047" t="s">
        <v>541</v>
      </c>
      <c r="I520" s="3047"/>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1727</v>
      </c>
      <c r="AJ522" s="3030">
        <f>VLOOKUP($H$520,$AO$455:$AP$457,2,FALSE)</f>
        <v>1</v>
      </c>
      <c r="AK522" s="3032"/>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1716</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724</v>
      </c>
      <c r="E526" s="3048" t="s">
        <v>2185</v>
      </c>
      <c r="F526" s="3048"/>
      <c r="G526" s="3048"/>
      <c r="H526" s="3048"/>
      <c r="I526" s="3048"/>
      <c r="J526" s="3048"/>
      <c r="K526" s="3048"/>
      <c r="L526" s="3048"/>
      <c r="M526" s="3048"/>
      <c r="N526" s="3048"/>
      <c r="O526" s="3048"/>
      <c r="P526" s="3048"/>
      <c r="Q526" s="3048"/>
      <c r="R526" s="3048"/>
      <c r="S526" s="3048"/>
      <c r="T526" s="3048"/>
      <c r="U526" s="3048"/>
      <c r="V526" s="3048"/>
      <c r="W526" s="3048"/>
      <c r="X526" s="3048"/>
      <c r="Y526" s="3048"/>
      <c r="Z526" s="3048"/>
      <c r="AA526" s="3048"/>
      <c r="AB526" s="3048"/>
      <c r="AC526" s="3048"/>
      <c r="AD526" s="3048"/>
      <c r="AE526" s="926"/>
      <c r="AF526" s="3147" t="s">
        <v>1684</v>
      </c>
      <c r="AG526" s="3147"/>
      <c r="AH526" s="3147"/>
      <c r="AI526" s="3147"/>
      <c r="AJ526" s="3147"/>
      <c r="AK526" s="3147"/>
      <c r="AL526" s="3147"/>
      <c r="AM526" s="1030"/>
      <c r="AN526" s="1132"/>
    </row>
    <row r="527" spans="1:74" s="1133" customFormat="1" ht="13.75" customHeight="1">
      <c r="A527" s="1059"/>
      <c r="B527" s="1034"/>
      <c r="C527" s="1648"/>
      <c r="D527" s="1105"/>
      <c r="E527" s="3048"/>
      <c r="F527" s="3048"/>
      <c r="G527" s="3048"/>
      <c r="H527" s="3048"/>
      <c r="I527" s="3048"/>
      <c r="J527" s="3048"/>
      <c r="K527" s="3048"/>
      <c r="L527" s="3048"/>
      <c r="M527" s="3048"/>
      <c r="N527" s="3048"/>
      <c r="O527" s="3048"/>
      <c r="P527" s="3048"/>
      <c r="Q527" s="3048"/>
      <c r="R527" s="3048"/>
      <c r="S527" s="3048"/>
      <c r="T527" s="3048"/>
      <c r="U527" s="3048"/>
      <c r="V527" s="3048"/>
      <c r="W527" s="3048"/>
      <c r="X527" s="3048"/>
      <c r="Y527" s="3048"/>
      <c r="Z527" s="3048"/>
      <c r="AA527" s="3048"/>
      <c r="AB527" s="3048"/>
      <c r="AC527" s="3048"/>
      <c r="AD527" s="3048"/>
      <c r="AE527" s="926"/>
      <c r="AF527" s="1595"/>
      <c r="AG527" s="1595"/>
      <c r="AH527" s="1595"/>
      <c r="AI527" s="1595"/>
      <c r="AJ527" s="1595"/>
      <c r="AK527" s="1595"/>
      <c r="AL527" s="1595"/>
      <c r="AM527" s="1030"/>
      <c r="AN527" s="1132"/>
    </row>
    <row r="528" spans="1:74" s="1133" customFormat="1" ht="13">
      <c r="A528" s="1059"/>
      <c r="B528" s="1034"/>
      <c r="C528" s="1648"/>
      <c r="D528" s="1105"/>
      <c r="E528" s="3048"/>
      <c r="F528" s="3048"/>
      <c r="G528" s="3048"/>
      <c r="H528" s="3048"/>
      <c r="I528" s="3048"/>
      <c r="J528" s="3048"/>
      <c r="K528" s="3048"/>
      <c r="L528" s="3048"/>
      <c r="M528" s="3048"/>
      <c r="N528" s="3048"/>
      <c r="O528" s="3048"/>
      <c r="P528" s="3048"/>
      <c r="Q528" s="3048"/>
      <c r="R528" s="3048"/>
      <c r="S528" s="3048"/>
      <c r="T528" s="3048"/>
      <c r="U528" s="3048"/>
      <c r="V528" s="3048"/>
      <c r="W528" s="3048"/>
      <c r="X528" s="3048"/>
      <c r="Y528" s="3048"/>
      <c r="Z528" s="3048"/>
      <c r="AA528" s="3048"/>
      <c r="AB528" s="3048"/>
      <c r="AC528" s="3048"/>
      <c r="AD528" s="3048"/>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75" customHeight="1">
      <c r="A529" s="1059"/>
      <c r="B529" s="1034"/>
      <c r="C529" s="1648"/>
      <c r="D529" s="1105"/>
      <c r="E529" s="3048"/>
      <c r="F529" s="3048"/>
      <c r="G529" s="3048"/>
      <c r="H529" s="3048"/>
      <c r="I529" s="3048"/>
      <c r="J529" s="3048"/>
      <c r="K529" s="3048"/>
      <c r="L529" s="3048"/>
      <c r="M529" s="3048"/>
      <c r="N529" s="3048"/>
      <c r="O529" s="3048"/>
      <c r="P529" s="3048"/>
      <c r="Q529" s="3048"/>
      <c r="R529" s="3048"/>
      <c r="S529" s="3048"/>
      <c r="T529" s="3048"/>
      <c r="U529" s="3048"/>
      <c r="V529" s="3048"/>
      <c r="W529" s="3048"/>
      <c r="X529" s="3048"/>
      <c r="Y529" s="3048"/>
      <c r="Z529" s="3048"/>
      <c r="AA529" s="3048"/>
      <c r="AB529" s="3048"/>
      <c r="AC529" s="3048"/>
      <c r="AD529" s="3048"/>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48" t="s">
        <v>2193</v>
      </c>
      <c r="F531" s="3148"/>
      <c r="G531" s="3148"/>
      <c r="H531" s="3148"/>
      <c r="I531" s="3148"/>
      <c r="J531" s="3148"/>
      <c r="K531" s="3148"/>
      <c r="L531" s="3148"/>
      <c r="M531" s="3148"/>
      <c r="N531" s="3148"/>
      <c r="O531" s="3148"/>
      <c r="P531" s="3148"/>
      <c r="Q531" s="3148"/>
      <c r="R531" s="3148"/>
      <c r="S531" s="3148"/>
      <c r="T531" s="3148"/>
      <c r="U531" s="3148"/>
      <c r="V531" s="3148"/>
      <c r="W531" s="3148"/>
      <c r="X531" s="3148"/>
      <c r="Y531" s="3148"/>
      <c r="Z531" s="3148"/>
      <c r="AA531" s="3148"/>
      <c r="AB531" s="3148"/>
      <c r="AC531" s="3148"/>
      <c r="AD531" s="3148"/>
      <c r="AE531" s="926"/>
      <c r="AF531" s="3147" t="s">
        <v>1620</v>
      </c>
      <c r="AG531" s="3147"/>
      <c r="AH531" s="3147"/>
      <c r="AI531" s="3147"/>
      <c r="AJ531" s="3147"/>
      <c r="AK531" s="3147"/>
      <c r="AL531" s="3147"/>
      <c r="AM531" s="1030"/>
      <c r="AN531" s="999"/>
    </row>
    <row r="532" spans="1:81" s="942" customFormat="1" ht="12.75" customHeight="1">
      <c r="A532" s="1059"/>
      <c r="B532" s="1034"/>
      <c r="C532" s="1648"/>
      <c r="D532" s="1105"/>
      <c r="E532" s="3148"/>
      <c r="F532" s="3148"/>
      <c r="G532" s="3148"/>
      <c r="H532" s="3148"/>
      <c r="I532" s="3148"/>
      <c r="J532" s="3148"/>
      <c r="K532" s="3148"/>
      <c r="L532" s="3148"/>
      <c r="M532" s="3148"/>
      <c r="N532" s="3148"/>
      <c r="O532" s="3148"/>
      <c r="P532" s="3148"/>
      <c r="Q532" s="3148"/>
      <c r="R532" s="3148"/>
      <c r="S532" s="3148"/>
      <c r="T532" s="3148"/>
      <c r="U532" s="3148"/>
      <c r="V532" s="3148"/>
      <c r="W532" s="3148"/>
      <c r="X532" s="3148"/>
      <c r="Y532" s="3148"/>
      <c r="Z532" s="3148"/>
      <c r="AA532" s="3148"/>
      <c r="AB532" s="3148"/>
      <c r="AC532" s="3148"/>
      <c r="AD532" s="3148"/>
      <c r="AE532" s="1595"/>
      <c r="AF532" s="1595"/>
      <c r="AG532" s="1595"/>
      <c r="AH532" s="1595"/>
      <c r="AI532" s="1595"/>
      <c r="AJ532" s="1595"/>
      <c r="AK532" s="1595"/>
      <c r="AL532" s="1595"/>
      <c r="AM532" s="1030"/>
      <c r="AN532" s="999"/>
    </row>
    <row r="533" spans="1:81" s="942" customFormat="1" ht="12.75" customHeight="1">
      <c r="A533" s="1059"/>
      <c r="B533" s="1034"/>
      <c r="C533" s="1648"/>
      <c r="D533" s="1105"/>
      <c r="E533" s="3148"/>
      <c r="F533" s="3148"/>
      <c r="G533" s="3148"/>
      <c r="H533" s="3148"/>
      <c r="I533" s="3148"/>
      <c r="J533" s="3148"/>
      <c r="K533" s="3148"/>
      <c r="L533" s="3148"/>
      <c r="M533" s="3148"/>
      <c r="N533" s="3148"/>
      <c r="O533" s="3148"/>
      <c r="P533" s="3148"/>
      <c r="Q533" s="3148"/>
      <c r="R533" s="3148"/>
      <c r="S533" s="3148"/>
      <c r="T533" s="3148"/>
      <c r="U533" s="3148"/>
      <c r="V533" s="3148"/>
      <c r="W533" s="3148"/>
      <c r="X533" s="3148"/>
      <c r="Y533" s="3148"/>
      <c r="Z533" s="3148"/>
      <c r="AA533" s="3148"/>
      <c r="AB533" s="3148"/>
      <c r="AC533" s="3148"/>
      <c r="AD533" s="3148"/>
      <c r="AE533" s="1595"/>
      <c r="AF533" s="1595"/>
      <c r="AG533" s="1595"/>
      <c r="AH533" s="1595"/>
      <c r="AI533" s="1595"/>
      <c r="AJ533" s="1595"/>
      <c r="AK533" s="1595"/>
      <c r="AL533" s="1595"/>
      <c r="AM533" s="1030"/>
      <c r="AN533" s="999"/>
    </row>
    <row r="534" spans="1:81" s="942" customFormat="1" ht="12.75" customHeight="1">
      <c r="A534" s="1059"/>
      <c r="B534" s="1034"/>
      <c r="C534" s="1648"/>
      <c r="D534" s="1105"/>
      <c r="E534" s="3148"/>
      <c r="F534" s="3148"/>
      <c r="G534" s="3148"/>
      <c r="H534" s="3148"/>
      <c r="I534" s="3148"/>
      <c r="J534" s="3148"/>
      <c r="K534" s="3148"/>
      <c r="L534" s="3148"/>
      <c r="M534" s="3148"/>
      <c r="N534" s="3148"/>
      <c r="O534" s="3148"/>
      <c r="P534" s="3148"/>
      <c r="Q534" s="3148"/>
      <c r="R534" s="3148"/>
      <c r="S534" s="3148"/>
      <c r="T534" s="3148"/>
      <c r="U534" s="3148"/>
      <c r="V534" s="3148"/>
      <c r="W534" s="3148"/>
      <c r="X534" s="3148"/>
      <c r="Y534" s="3148"/>
      <c r="Z534" s="3148"/>
      <c r="AA534" s="3148"/>
      <c r="AB534" s="3148"/>
      <c r="AC534" s="3148"/>
      <c r="AD534" s="3148"/>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1676</v>
      </c>
      <c r="E536" s="1642"/>
      <c r="F536" s="1642"/>
      <c r="G536" s="1642"/>
      <c r="H536" s="3047" t="s">
        <v>625</v>
      </c>
      <c r="I536" s="304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1728</v>
      </c>
      <c r="AJ538" s="3030">
        <f>VLOOKUP($H$536,$AP$477:$AQ$479,2,FALSE)</f>
        <v>0</v>
      </c>
      <c r="AK538" s="3032"/>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1729</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724</v>
      </c>
      <c r="E542" s="3048" t="s">
        <v>2184</v>
      </c>
      <c r="F542" s="3048"/>
      <c r="G542" s="3048"/>
      <c r="H542" s="3048"/>
      <c r="I542" s="3048"/>
      <c r="J542" s="3048"/>
      <c r="K542" s="3048"/>
      <c r="L542" s="3048"/>
      <c r="M542" s="3048"/>
      <c r="N542" s="3048"/>
      <c r="O542" s="3048"/>
      <c r="P542" s="3048"/>
      <c r="Q542" s="3048"/>
      <c r="R542" s="3048"/>
      <c r="S542" s="3048"/>
      <c r="T542" s="3048"/>
      <c r="U542" s="3048"/>
      <c r="V542" s="3048"/>
      <c r="W542" s="3048"/>
      <c r="X542" s="3048"/>
      <c r="Y542" s="3048"/>
      <c r="Z542" s="3048"/>
      <c r="AA542" s="3048"/>
      <c r="AB542" s="3048"/>
      <c r="AC542" s="3048"/>
      <c r="AD542" s="3048"/>
      <c r="AE542" s="926"/>
      <c r="AF542" s="3147" t="s">
        <v>1730</v>
      </c>
      <c r="AG542" s="3147"/>
      <c r="AH542" s="3147"/>
      <c r="AI542" s="3147"/>
      <c r="AJ542" s="3147"/>
      <c r="AK542" s="3147"/>
      <c r="AL542" s="3147"/>
      <c r="AM542" s="1030"/>
      <c r="AN542" s="1132"/>
      <c r="AO542" s="1117" t="s">
        <v>577</v>
      </c>
      <c r="AP542" s="942">
        <v>8</v>
      </c>
      <c r="AT542" s="1142"/>
      <c r="AU542" s="1142"/>
      <c r="AV542" s="1142"/>
      <c r="AW542" s="1142"/>
      <c r="AX542" s="1142"/>
      <c r="AY542" s="1142"/>
      <c r="AZ542" s="1142"/>
    </row>
    <row r="543" spans="1:81" s="1133" customFormat="1" ht="13.75" customHeight="1">
      <c r="A543" s="1059"/>
      <c r="B543" s="1034"/>
      <c r="C543" s="1648"/>
      <c r="D543" s="1105"/>
      <c r="E543" s="3048"/>
      <c r="F543" s="3048"/>
      <c r="G543" s="3048"/>
      <c r="H543" s="3048"/>
      <c r="I543" s="3048"/>
      <c r="J543" s="3048"/>
      <c r="K543" s="3048"/>
      <c r="L543" s="3048"/>
      <c r="M543" s="3048"/>
      <c r="N543" s="3048"/>
      <c r="O543" s="3048"/>
      <c r="P543" s="3048"/>
      <c r="Q543" s="3048"/>
      <c r="R543" s="3048"/>
      <c r="S543" s="3048"/>
      <c r="T543" s="3048"/>
      <c r="U543" s="3048"/>
      <c r="V543" s="3048"/>
      <c r="W543" s="3048"/>
      <c r="X543" s="3048"/>
      <c r="Y543" s="3048"/>
      <c r="Z543" s="3048"/>
      <c r="AA543" s="3048"/>
      <c r="AB543" s="3048"/>
      <c r="AC543" s="3048"/>
      <c r="AD543" s="3048"/>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048"/>
      <c r="F544" s="3048"/>
      <c r="G544" s="3048"/>
      <c r="H544" s="3048"/>
      <c r="I544" s="3048"/>
      <c r="J544" s="3048"/>
      <c r="K544" s="3048"/>
      <c r="L544" s="3048"/>
      <c r="M544" s="3048"/>
      <c r="N544" s="3048"/>
      <c r="O544" s="3048"/>
      <c r="P544" s="3048"/>
      <c r="Q544" s="3048"/>
      <c r="R544" s="3048"/>
      <c r="S544" s="3048"/>
      <c r="T544" s="3048"/>
      <c r="U544" s="3048"/>
      <c r="V544" s="3048"/>
      <c r="W544" s="3048"/>
      <c r="X544" s="3048"/>
      <c r="Y544" s="3048"/>
      <c r="Z544" s="3048"/>
      <c r="AA544" s="3048"/>
      <c r="AB544" s="3048"/>
      <c r="AC544" s="3048"/>
      <c r="AD544" s="3048"/>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048"/>
      <c r="F545" s="3048"/>
      <c r="G545" s="3048"/>
      <c r="H545" s="3048"/>
      <c r="I545" s="3048"/>
      <c r="J545" s="3048"/>
      <c r="K545" s="3048"/>
      <c r="L545" s="3048"/>
      <c r="M545" s="3048"/>
      <c r="N545" s="3048"/>
      <c r="O545" s="3048"/>
      <c r="P545" s="3048"/>
      <c r="Q545" s="3048"/>
      <c r="R545" s="3048"/>
      <c r="S545" s="3048"/>
      <c r="T545" s="3048"/>
      <c r="U545" s="3048"/>
      <c r="V545" s="3048"/>
      <c r="W545" s="3048"/>
      <c r="X545" s="3048"/>
      <c r="Y545" s="3048"/>
      <c r="Z545" s="3048"/>
      <c r="AA545" s="3048"/>
      <c r="AB545" s="3048"/>
      <c r="AC545" s="3048"/>
      <c r="AD545" s="3048"/>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1676</v>
      </c>
      <c r="E547" s="1642"/>
      <c r="F547" s="1642"/>
      <c r="G547" s="1642"/>
      <c r="H547" s="3047" t="s">
        <v>625</v>
      </c>
      <c r="I547" s="3047"/>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1731</v>
      </c>
      <c r="AJ549" s="3030">
        <f>VLOOKUP($H$547,$AO$541:$AP$542,2,FALSE)</f>
        <v>0</v>
      </c>
      <c r="AK549" s="3032"/>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1732</v>
      </c>
      <c r="AK551" s="3030">
        <f>IF(($AJ$382+$AJ$401+$AJ$413+$AJ$448+$AJ$468+$AJ$482+$AJ$494+$AJ$510+$AJ$522+$AJ$538+AJ549)&gt;10,10,($AJ$382+$AJ$401+$AJ$413+$AJ$448+$AJ$468+$AJ$482+$AJ$494+$AJ$510+$AJ$522+$AJ$538+AJ549))</f>
        <v>10</v>
      </c>
      <c r="AL551" s="3031"/>
      <c r="AM551" s="3032"/>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1733</v>
      </c>
      <c r="AK553" s="3030">
        <f>IF((AK320+AK551)&gt;20,20,(AK320+AK551))</f>
        <v>19</v>
      </c>
      <c r="AL553" s="3031"/>
      <c r="AM553" s="3032"/>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1734</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2" t="s">
        <v>1582</v>
      </c>
      <c r="AF556" s="3112"/>
      <c r="AG556" s="3112"/>
      <c r="AH556" s="3112"/>
      <c r="AI556" s="3112"/>
      <c r="AJ556" s="3112"/>
      <c r="AK556" s="3112"/>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9" t="s">
        <v>1735</v>
      </c>
      <c r="D558" s="3039"/>
      <c r="E558" s="3039"/>
      <c r="F558" s="3039"/>
      <c r="G558" s="3039"/>
      <c r="H558" s="3039"/>
      <c r="I558" s="3039"/>
      <c r="J558" s="3039"/>
      <c r="K558" s="3039"/>
      <c r="L558" s="3039"/>
      <c r="M558" s="3039"/>
      <c r="N558" s="3039"/>
      <c r="O558" s="3039"/>
      <c r="P558" s="3039"/>
      <c r="Q558" s="3039"/>
      <c r="R558" s="3039"/>
      <c r="S558" s="3039"/>
      <c r="T558" s="3039"/>
      <c r="U558" s="3039"/>
      <c r="V558" s="3039"/>
      <c r="W558" s="3039"/>
      <c r="X558" s="3039"/>
      <c r="Y558" s="3039"/>
      <c r="Z558" s="3039"/>
      <c r="AA558" s="3039"/>
      <c r="AB558" s="3039"/>
      <c r="AC558" s="3039"/>
      <c r="AD558" s="3039"/>
      <c r="AE558" s="3039"/>
      <c r="AF558" s="3039"/>
      <c r="AG558" s="3039"/>
      <c r="AH558" s="3039"/>
      <c r="AI558" s="3039"/>
      <c r="AJ558" s="3039"/>
      <c r="AK558" s="1026"/>
      <c r="AL558" s="1026"/>
      <c r="AM558" s="1026"/>
      <c r="AN558" s="999"/>
    </row>
    <row r="559" spans="1:81" s="942" customFormat="1" ht="12.75" customHeight="1">
      <c r="A559" s="1026"/>
      <c r="B559" s="1027"/>
      <c r="C559" s="3039"/>
      <c r="D559" s="3039"/>
      <c r="E559" s="3039"/>
      <c r="F559" s="3039"/>
      <c r="G559" s="3039"/>
      <c r="H559" s="3039"/>
      <c r="I559" s="3039"/>
      <c r="J559" s="3039"/>
      <c r="K559" s="3039"/>
      <c r="L559" s="3039"/>
      <c r="M559" s="3039"/>
      <c r="N559" s="3039"/>
      <c r="O559" s="3039"/>
      <c r="P559" s="3039"/>
      <c r="Q559" s="3039"/>
      <c r="R559" s="3039"/>
      <c r="S559" s="3039"/>
      <c r="T559" s="3039"/>
      <c r="U559" s="3039"/>
      <c r="V559" s="3039"/>
      <c r="W559" s="3039"/>
      <c r="X559" s="3039"/>
      <c r="Y559" s="3039"/>
      <c r="Z559" s="3039"/>
      <c r="AA559" s="3039"/>
      <c r="AB559" s="3039"/>
      <c r="AC559" s="3039"/>
      <c r="AD559" s="3039"/>
      <c r="AE559" s="3039"/>
      <c r="AF559" s="3039"/>
      <c r="AG559" s="3039"/>
      <c r="AH559" s="3039"/>
      <c r="AI559" s="3039"/>
      <c r="AJ559" s="3039"/>
      <c r="AK559" s="1026"/>
      <c r="AL559" s="1026"/>
      <c r="AM559" s="1026"/>
      <c r="AN559" s="999"/>
    </row>
    <row r="560" spans="1:81" s="942" customFormat="1" ht="12.75" customHeight="1">
      <c r="A560" s="1026"/>
      <c r="B560" s="1027"/>
      <c r="C560" s="3039"/>
      <c r="D560" s="3039"/>
      <c r="E560" s="3039"/>
      <c r="F560" s="3039"/>
      <c r="G560" s="3039"/>
      <c r="H560" s="3039"/>
      <c r="I560" s="3039"/>
      <c r="J560" s="3039"/>
      <c r="K560" s="3039"/>
      <c r="L560" s="3039"/>
      <c r="M560" s="3039"/>
      <c r="N560" s="3039"/>
      <c r="O560" s="3039"/>
      <c r="P560" s="3039"/>
      <c r="Q560" s="3039"/>
      <c r="R560" s="3039"/>
      <c r="S560" s="3039"/>
      <c r="T560" s="3039"/>
      <c r="U560" s="3039"/>
      <c r="V560" s="3039"/>
      <c r="W560" s="3039"/>
      <c r="X560" s="3039"/>
      <c r="Y560" s="3039"/>
      <c r="Z560" s="3039"/>
      <c r="AA560" s="3039"/>
      <c r="AB560" s="3039"/>
      <c r="AC560" s="3039"/>
      <c r="AD560" s="3039"/>
      <c r="AE560" s="3039"/>
      <c r="AF560" s="3039"/>
      <c r="AG560" s="3039"/>
      <c r="AH560" s="3039"/>
      <c r="AI560" s="3039"/>
      <c r="AJ560" s="3039"/>
      <c r="AK560" s="1026"/>
      <c r="AL560" s="1026"/>
      <c r="AM560" s="1026"/>
      <c r="AN560" s="999"/>
      <c r="AQ560" s="1134"/>
      <c r="AR560" s="1001"/>
    </row>
    <row r="561" spans="1:46" s="942" customFormat="1" ht="12.75" customHeight="1">
      <c r="A561" s="1026"/>
      <c r="B561" s="1117"/>
      <c r="C561" s="3039"/>
      <c r="D561" s="3039"/>
      <c r="E561" s="3039"/>
      <c r="F561" s="3039"/>
      <c r="G561" s="3039"/>
      <c r="H561" s="3039"/>
      <c r="I561" s="3039"/>
      <c r="J561" s="3039"/>
      <c r="K561" s="3039"/>
      <c r="L561" s="3039"/>
      <c r="M561" s="3039"/>
      <c r="N561" s="3039"/>
      <c r="O561" s="3039"/>
      <c r="P561" s="3039"/>
      <c r="Q561" s="3039"/>
      <c r="R561" s="3039"/>
      <c r="S561" s="3039"/>
      <c r="T561" s="3039"/>
      <c r="U561" s="3039"/>
      <c r="V561" s="3039"/>
      <c r="W561" s="3039"/>
      <c r="X561" s="3039"/>
      <c r="Y561" s="3039"/>
      <c r="Z561" s="3039"/>
      <c r="AA561" s="3039"/>
      <c r="AB561" s="3039"/>
      <c r="AC561" s="3039"/>
      <c r="AD561" s="3039"/>
      <c r="AE561" s="3039"/>
      <c r="AF561" s="3039"/>
      <c r="AG561" s="3039"/>
      <c r="AH561" s="3039"/>
      <c r="AI561" s="3039"/>
      <c r="AJ561" s="3039"/>
      <c r="AK561" s="1026"/>
      <c r="AL561" s="1026"/>
      <c r="AM561" s="1026"/>
      <c r="AN561" s="999"/>
      <c r="AQ561" s="1134"/>
      <c r="AR561" s="1001"/>
    </row>
    <row r="562" spans="1:46" s="942" customFormat="1" ht="12.5" customHeight="1">
      <c r="A562" s="1026"/>
      <c r="B562" s="1117"/>
      <c r="C562" s="3039"/>
      <c r="D562" s="3039"/>
      <c r="E562" s="3039"/>
      <c r="F562" s="3039"/>
      <c r="G562" s="3039"/>
      <c r="H562" s="3039"/>
      <c r="I562" s="3039"/>
      <c r="J562" s="3039"/>
      <c r="K562" s="3039"/>
      <c r="L562" s="3039"/>
      <c r="M562" s="3039"/>
      <c r="N562" s="3039"/>
      <c r="O562" s="3039"/>
      <c r="P562" s="3039"/>
      <c r="Q562" s="3039"/>
      <c r="R562" s="3039"/>
      <c r="S562" s="3039"/>
      <c r="T562" s="3039"/>
      <c r="U562" s="3039"/>
      <c r="V562" s="3039"/>
      <c r="W562" s="3039"/>
      <c r="X562" s="3039"/>
      <c r="Y562" s="3039"/>
      <c r="Z562" s="3039"/>
      <c r="AA562" s="3039"/>
      <c r="AB562" s="3039"/>
      <c r="AC562" s="3039"/>
      <c r="AD562" s="3039"/>
      <c r="AE562" s="3039"/>
      <c r="AF562" s="3039"/>
      <c r="AG562" s="3039"/>
      <c r="AH562" s="3039"/>
      <c r="AI562" s="3039"/>
      <c r="AJ562" s="3039"/>
      <c r="AK562" s="1026"/>
      <c r="AL562" s="1026"/>
      <c r="AM562" s="1026"/>
      <c r="AN562" s="999"/>
      <c r="AQ562" s="1134"/>
      <c r="AR562" s="1134"/>
    </row>
    <row r="563" spans="1:46" s="942" customFormat="1" ht="25" customHeight="1">
      <c r="A563" s="1026"/>
      <c r="B563" s="1117"/>
      <c r="C563" s="3039" t="s">
        <v>1736</v>
      </c>
      <c r="D563" s="3039"/>
      <c r="E563" s="3039"/>
      <c r="F563" s="3039"/>
      <c r="G563" s="3039"/>
      <c r="H563" s="3039"/>
      <c r="I563" s="3039"/>
      <c r="J563" s="3039"/>
      <c r="K563" s="3039"/>
      <c r="L563" s="3039"/>
      <c r="M563" s="3039"/>
      <c r="N563" s="3039"/>
      <c r="O563" s="3039"/>
      <c r="P563" s="3039"/>
      <c r="Q563" s="3039"/>
      <c r="R563" s="3039"/>
      <c r="S563" s="3039"/>
      <c r="T563" s="3039"/>
      <c r="U563" s="3039"/>
      <c r="V563" s="3039"/>
      <c r="W563" s="3039"/>
      <c r="X563" s="3039"/>
      <c r="Y563" s="3039"/>
      <c r="Z563" s="3039"/>
      <c r="AA563" s="3039"/>
      <c r="AB563" s="3039"/>
      <c r="AC563" s="3039"/>
      <c r="AD563" s="3039"/>
      <c r="AE563" s="3039"/>
      <c r="AF563" s="3039"/>
      <c r="AG563" s="3039"/>
      <c r="AH563" s="3039"/>
      <c r="AI563" s="3039"/>
      <c r="AJ563" s="3039"/>
      <c r="AK563" s="1026"/>
      <c r="AL563" s="1026"/>
      <c r="AM563" s="1026"/>
      <c r="AN563" s="999"/>
      <c r="AQ563" s="1134"/>
      <c r="AR563" s="1134"/>
    </row>
    <row r="564" spans="1:46" s="942" customFormat="1" ht="12.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9" t="s">
        <v>2390</v>
      </c>
      <c r="D565" s="3039"/>
      <c r="E565" s="3039"/>
      <c r="F565" s="3039"/>
      <c r="G565" s="3039"/>
      <c r="H565" s="3039"/>
      <c r="I565" s="3039"/>
      <c r="J565" s="3039"/>
      <c r="K565" s="3039"/>
      <c r="L565" s="3039"/>
      <c r="M565" s="3039"/>
      <c r="N565" s="3039"/>
      <c r="O565" s="3039"/>
      <c r="P565" s="3039"/>
      <c r="Q565" s="3039"/>
      <c r="R565" s="3039"/>
      <c r="S565" s="3039"/>
      <c r="T565" s="3039"/>
      <c r="U565" s="3039"/>
      <c r="V565" s="3039"/>
      <c r="W565" s="3039"/>
      <c r="X565" s="3039"/>
      <c r="Y565" s="3039"/>
      <c r="Z565" s="3039"/>
      <c r="AA565" s="3039"/>
      <c r="AB565" s="3039"/>
      <c r="AC565" s="3039"/>
      <c r="AD565" s="3039"/>
      <c r="AE565" s="3039"/>
      <c r="AF565" s="3039"/>
      <c r="AG565" s="3039"/>
      <c r="AH565" s="3039"/>
      <c r="AI565" s="3039"/>
      <c r="AJ565" s="3039"/>
      <c r="AK565" s="1026"/>
      <c r="AL565" s="1026"/>
      <c r="AM565" s="1026"/>
      <c r="AN565" s="999"/>
      <c r="AQ565" s="1134"/>
      <c r="AR565" s="1134"/>
    </row>
    <row r="566" spans="1:46" s="942" customFormat="1" ht="30" customHeight="1">
      <c r="A566" s="1026"/>
      <c r="B566" s="1117"/>
      <c r="C566" s="3039"/>
      <c r="D566" s="3039"/>
      <c r="E566" s="3039"/>
      <c r="F566" s="3039"/>
      <c r="G566" s="3039"/>
      <c r="H566" s="3039"/>
      <c r="I566" s="3039"/>
      <c r="J566" s="3039"/>
      <c r="K566" s="3039"/>
      <c r="L566" s="3039"/>
      <c r="M566" s="3039"/>
      <c r="N566" s="3039"/>
      <c r="O566" s="3039"/>
      <c r="P566" s="3039"/>
      <c r="Q566" s="3039"/>
      <c r="R566" s="3039"/>
      <c r="S566" s="3039"/>
      <c r="T566" s="3039"/>
      <c r="U566" s="3039"/>
      <c r="V566" s="3039"/>
      <c r="W566" s="3039"/>
      <c r="X566" s="3039"/>
      <c r="Y566" s="3039"/>
      <c r="Z566" s="3039"/>
      <c r="AA566" s="3039"/>
      <c r="AB566" s="3039"/>
      <c r="AC566" s="3039"/>
      <c r="AD566" s="3039"/>
      <c r="AE566" s="3039"/>
      <c r="AF566" s="3039"/>
      <c r="AG566" s="3039"/>
      <c r="AH566" s="3039"/>
      <c r="AI566" s="3039"/>
      <c r="AJ566" s="3039"/>
      <c r="AK566" s="1026"/>
      <c r="AL566" s="1026"/>
      <c r="AM566" s="1026"/>
      <c r="AN566" s="999"/>
      <c r="AQ566" s="1001"/>
      <c r="AR566" s="1134"/>
    </row>
    <row r="567" spans="1:46" s="942" customFormat="1" ht="12.75" customHeight="1">
      <c r="A567" s="1026"/>
      <c r="B567" s="1117"/>
      <c r="C567" s="3039"/>
      <c r="D567" s="3039"/>
      <c r="E567" s="3039"/>
      <c r="F567" s="3039"/>
      <c r="G567" s="3039"/>
      <c r="H567" s="3039"/>
      <c r="I567" s="3039"/>
      <c r="J567" s="3039"/>
      <c r="K567" s="3039"/>
      <c r="L567" s="3039"/>
      <c r="M567" s="3039"/>
      <c r="N567" s="3039"/>
      <c r="O567" s="3039"/>
      <c r="P567" s="3039"/>
      <c r="Q567" s="3039"/>
      <c r="R567" s="3039"/>
      <c r="S567" s="3039"/>
      <c r="T567" s="3039"/>
      <c r="U567" s="3039"/>
      <c r="V567" s="3039"/>
      <c r="W567" s="3039"/>
      <c r="X567" s="3039"/>
      <c r="Y567" s="3039"/>
      <c r="Z567" s="3039"/>
      <c r="AA567" s="3039"/>
      <c r="AB567" s="3039"/>
      <c r="AC567" s="3039"/>
      <c r="AD567" s="3039"/>
      <c r="AE567" s="3039"/>
      <c r="AF567" s="3039"/>
      <c r="AG567" s="3039"/>
      <c r="AH567" s="3039"/>
      <c r="AI567" s="3039"/>
      <c r="AJ567" s="3039"/>
      <c r="AK567" s="1026"/>
      <c r="AL567" s="1026"/>
      <c r="AM567" s="1026"/>
      <c r="AN567" s="999"/>
      <c r="AQ567" s="1001"/>
      <c r="AR567" s="1134"/>
    </row>
    <row r="568" spans="1:46" s="942" customFormat="1" ht="12.75" customHeight="1">
      <c r="A568" s="1026"/>
      <c r="B568" s="1117"/>
      <c r="C568" s="3039" t="s">
        <v>1737</v>
      </c>
      <c r="D568" s="3039"/>
      <c r="E568" s="3039"/>
      <c r="F568" s="3039"/>
      <c r="G568" s="3039"/>
      <c r="H568" s="3039"/>
      <c r="I568" s="3039"/>
      <c r="J568" s="3039"/>
      <c r="K568" s="3039"/>
      <c r="L568" s="3039"/>
      <c r="M568" s="3039"/>
      <c r="N568" s="3039"/>
      <c r="O568" s="3039"/>
      <c r="P568" s="3039"/>
      <c r="Q568" s="3039"/>
      <c r="R568" s="3039"/>
      <c r="S568" s="3039"/>
      <c r="T568" s="3039"/>
      <c r="U568" s="3039"/>
      <c r="V568" s="3039"/>
      <c r="W568" s="3039"/>
      <c r="X568" s="3039"/>
      <c r="Y568" s="3039"/>
      <c r="Z568" s="3039"/>
      <c r="AA568" s="3039"/>
      <c r="AB568" s="3039"/>
      <c r="AC568" s="3039"/>
      <c r="AD568" s="3039"/>
      <c r="AE568" s="3039"/>
      <c r="AF568" s="3039"/>
      <c r="AG568" s="3039"/>
      <c r="AH568" s="3039"/>
      <c r="AI568" s="3039"/>
      <c r="AJ568" s="3039"/>
      <c r="AK568" s="1026"/>
      <c r="AL568" s="1026"/>
      <c r="AM568" s="1026"/>
      <c r="AN568" s="999"/>
      <c r="AQ568" s="1134"/>
      <c r="AR568" s="1134"/>
    </row>
    <row r="569" spans="1:46" s="942" customFormat="1" ht="12.75" customHeight="1">
      <c r="A569" s="1026"/>
      <c r="B569" s="1117"/>
      <c r="C569" s="3039"/>
      <c r="D569" s="3039"/>
      <c r="E569" s="3039"/>
      <c r="F569" s="3039"/>
      <c r="G569" s="3039"/>
      <c r="H569" s="3039"/>
      <c r="I569" s="3039"/>
      <c r="J569" s="3039"/>
      <c r="K569" s="3039"/>
      <c r="L569" s="3039"/>
      <c r="M569" s="3039"/>
      <c r="N569" s="3039"/>
      <c r="O569" s="3039"/>
      <c r="P569" s="3039"/>
      <c r="Q569" s="3039"/>
      <c r="R569" s="3039"/>
      <c r="S569" s="3039"/>
      <c r="T569" s="3039"/>
      <c r="U569" s="3039"/>
      <c r="V569" s="3039"/>
      <c r="W569" s="3039"/>
      <c r="X569" s="3039"/>
      <c r="Y569" s="3039"/>
      <c r="Z569" s="3039"/>
      <c r="AA569" s="3039"/>
      <c r="AB569" s="3039"/>
      <c r="AC569" s="3039"/>
      <c r="AD569" s="3039"/>
      <c r="AE569" s="3039"/>
      <c r="AF569" s="3039"/>
      <c r="AG569" s="3039"/>
      <c r="AH569" s="3039"/>
      <c r="AI569" s="3039"/>
      <c r="AJ569" s="3039"/>
      <c r="AK569" s="1026"/>
      <c r="AL569" s="1026"/>
      <c r="AM569" s="1026"/>
      <c r="AN569" s="999"/>
      <c r="AQ569" s="1134"/>
      <c r="AR569" s="1134"/>
    </row>
    <row r="570" spans="1:46" s="942" customFormat="1" ht="13.25" customHeight="1">
      <c r="A570" s="1026"/>
      <c r="B570" s="1117"/>
      <c r="C570" s="3039"/>
      <c r="D570" s="3039"/>
      <c r="E570" s="3039"/>
      <c r="F570" s="3039"/>
      <c r="G570" s="3039"/>
      <c r="H570" s="3039"/>
      <c r="I570" s="3039"/>
      <c r="J570" s="3039"/>
      <c r="K570" s="3039"/>
      <c r="L570" s="3039"/>
      <c r="M570" s="3039"/>
      <c r="N570" s="3039"/>
      <c r="O570" s="3039"/>
      <c r="P570" s="3039"/>
      <c r="Q570" s="3039"/>
      <c r="R570" s="3039"/>
      <c r="S570" s="3039"/>
      <c r="T570" s="3039"/>
      <c r="U570" s="3039"/>
      <c r="V570" s="3039"/>
      <c r="W570" s="3039"/>
      <c r="X570" s="3039"/>
      <c r="Y570" s="3039"/>
      <c r="Z570" s="3039"/>
      <c r="AA570" s="3039"/>
      <c r="AB570" s="3039"/>
      <c r="AC570" s="3039"/>
      <c r="AD570" s="3039"/>
      <c r="AE570" s="3039"/>
      <c r="AF570" s="3039"/>
      <c r="AG570" s="3039"/>
      <c r="AH570" s="3039"/>
      <c r="AI570" s="3039"/>
      <c r="AJ570" s="3039"/>
      <c r="AK570" s="1026"/>
      <c r="AL570" s="1026"/>
      <c r="AM570" s="1026"/>
      <c r="AN570" s="999"/>
      <c r="AQ570" s="1134"/>
      <c r="AR570" s="1134"/>
    </row>
    <row r="571" spans="1:46" s="942" customFormat="1" ht="12.75" customHeight="1">
      <c r="A571" s="1026"/>
      <c r="B571" s="1117"/>
      <c r="C571" s="3039"/>
      <c r="D571" s="3039"/>
      <c r="E571" s="3039"/>
      <c r="F571" s="3039"/>
      <c r="G571" s="3039"/>
      <c r="H571" s="3039"/>
      <c r="I571" s="3039"/>
      <c r="J571" s="3039"/>
      <c r="K571" s="3039"/>
      <c r="L571" s="3039"/>
      <c r="M571" s="3039"/>
      <c r="N571" s="3039"/>
      <c r="O571" s="3039"/>
      <c r="P571" s="3039"/>
      <c r="Q571" s="3039"/>
      <c r="R571" s="3039"/>
      <c r="S571" s="3039"/>
      <c r="T571" s="3039"/>
      <c r="U571" s="3039"/>
      <c r="V571" s="3039"/>
      <c r="W571" s="3039"/>
      <c r="X571" s="3039"/>
      <c r="Y571" s="3039"/>
      <c r="Z571" s="3039"/>
      <c r="AA571" s="3039"/>
      <c r="AB571" s="3039"/>
      <c r="AC571" s="3039"/>
      <c r="AD571" s="3039"/>
      <c r="AE571" s="3039"/>
      <c r="AF571" s="3039"/>
      <c r="AG571" s="3039"/>
      <c r="AH571" s="3039"/>
      <c r="AI571" s="3039"/>
      <c r="AJ571" s="3039"/>
      <c r="AK571" s="1026"/>
      <c r="AL571" s="1026"/>
      <c r="AM571" s="1026"/>
      <c r="AN571" s="999"/>
      <c r="AO571" s="1149"/>
      <c r="AP571" s="1149"/>
      <c r="AQ571" s="1134"/>
      <c r="AR571" s="1001"/>
    </row>
    <row r="572" spans="1:46" s="942" customFormat="1" ht="12" customHeight="1">
      <c r="A572" s="1026"/>
      <c r="B572" s="1117"/>
      <c r="C572" s="3039"/>
      <c r="D572" s="3039"/>
      <c r="E572" s="3039"/>
      <c r="F572" s="3039"/>
      <c r="G572" s="3039"/>
      <c r="H572" s="3039"/>
      <c r="I572" s="3039"/>
      <c r="J572" s="3039"/>
      <c r="K572" s="3039"/>
      <c r="L572" s="3039"/>
      <c r="M572" s="3039"/>
      <c r="N572" s="3039"/>
      <c r="O572" s="3039"/>
      <c r="P572" s="3039"/>
      <c r="Q572" s="3039"/>
      <c r="R572" s="3039"/>
      <c r="S572" s="3039"/>
      <c r="T572" s="3039"/>
      <c r="U572" s="3039"/>
      <c r="V572" s="3039"/>
      <c r="W572" s="3039"/>
      <c r="X572" s="3039"/>
      <c r="Y572" s="3039"/>
      <c r="Z572" s="3039"/>
      <c r="AA572" s="3039"/>
      <c r="AB572" s="3039"/>
      <c r="AC572" s="3039"/>
      <c r="AD572" s="3039"/>
      <c r="AE572" s="3039"/>
      <c r="AF572" s="3039"/>
      <c r="AG572" s="3039"/>
      <c r="AH572" s="3039"/>
      <c r="AI572" s="3039"/>
      <c r="AJ572" s="3039"/>
      <c r="AK572" s="1026"/>
      <c r="AL572" s="1026"/>
      <c r="AM572" s="1026"/>
      <c r="AN572" s="999"/>
      <c r="AO572" s="1150" t="s">
        <v>117</v>
      </c>
      <c r="AP572" s="1151">
        <f>IF(C596="Yes",5,0)</f>
        <v>0</v>
      </c>
      <c r="AQ572" s="1001"/>
      <c r="AR572" s="1001"/>
      <c r="AS572" s="931" t="s">
        <v>1738</v>
      </c>
    </row>
    <row r="573" spans="1:46" s="942" customFormat="1" ht="12.75" customHeight="1">
      <c r="A573" s="1026"/>
      <c r="B573" s="1117"/>
      <c r="C573" s="3039"/>
      <c r="D573" s="3039"/>
      <c r="E573" s="3039"/>
      <c r="F573" s="3039"/>
      <c r="G573" s="3039"/>
      <c r="H573" s="3039"/>
      <c r="I573" s="3039"/>
      <c r="J573" s="3039"/>
      <c r="K573" s="3039"/>
      <c r="L573" s="3039"/>
      <c r="M573" s="3039"/>
      <c r="N573" s="3039"/>
      <c r="O573" s="3039"/>
      <c r="P573" s="3039"/>
      <c r="Q573" s="3039"/>
      <c r="R573" s="3039"/>
      <c r="S573" s="3039"/>
      <c r="T573" s="3039"/>
      <c r="U573" s="3039"/>
      <c r="V573" s="3039"/>
      <c r="W573" s="3039"/>
      <c r="X573" s="3039"/>
      <c r="Y573" s="3039"/>
      <c r="Z573" s="3039"/>
      <c r="AA573" s="3039"/>
      <c r="AB573" s="3039"/>
      <c r="AC573" s="3039"/>
      <c r="AD573" s="3039"/>
      <c r="AE573" s="3039"/>
      <c r="AF573" s="3039"/>
      <c r="AG573" s="3039"/>
      <c r="AH573" s="3039"/>
      <c r="AI573" s="3039"/>
      <c r="AJ573" s="3039"/>
      <c r="AK573" s="1026"/>
      <c r="AL573" s="1026"/>
      <c r="AM573" s="1026"/>
      <c r="AN573" s="999"/>
      <c r="AO573" s="1150" t="s">
        <v>118</v>
      </c>
      <c r="AP573" s="1151">
        <f>IF(C604="Yes",5,0)</f>
        <v>0</v>
      </c>
      <c r="AQ573" s="1001"/>
      <c r="AR573" s="1001"/>
      <c r="AS573" s="3004">
        <f>IF(Application!D210="Non-Targeted",(SUM(AQ581+AQ590)),AS577)</f>
        <v>10</v>
      </c>
      <c r="AT573" s="3004"/>
    </row>
    <row r="574" spans="1:46" s="942" customFormat="1" ht="12.75" customHeight="1">
      <c r="A574" s="1026"/>
      <c r="B574" s="1117"/>
      <c r="C574" s="3039"/>
      <c r="D574" s="3039"/>
      <c r="E574" s="3039"/>
      <c r="F574" s="3039"/>
      <c r="G574" s="3039"/>
      <c r="H574" s="3039"/>
      <c r="I574" s="3039"/>
      <c r="J574" s="3039"/>
      <c r="K574" s="3039"/>
      <c r="L574" s="3039"/>
      <c r="M574" s="3039"/>
      <c r="N574" s="3039"/>
      <c r="O574" s="3039"/>
      <c r="P574" s="3039"/>
      <c r="Q574" s="3039"/>
      <c r="R574" s="3039"/>
      <c r="S574" s="3039"/>
      <c r="T574" s="3039"/>
      <c r="U574" s="3039"/>
      <c r="V574" s="3039"/>
      <c r="W574" s="3039"/>
      <c r="X574" s="3039"/>
      <c r="Y574" s="3039"/>
      <c r="Z574" s="3039"/>
      <c r="AA574" s="3039"/>
      <c r="AB574" s="3039"/>
      <c r="AC574" s="3039"/>
      <c r="AD574" s="3039"/>
      <c r="AE574" s="3039"/>
      <c r="AF574" s="3039"/>
      <c r="AG574" s="3039"/>
      <c r="AH574" s="3039"/>
      <c r="AI574" s="3039"/>
      <c r="AJ574" s="3039"/>
      <c r="AK574" s="1026"/>
      <c r="AL574" s="1026"/>
      <c r="AM574" s="1026"/>
      <c r="AN574" s="999"/>
      <c r="AO574" s="1150" t="s">
        <v>124</v>
      </c>
      <c r="AP574" s="1151">
        <f>IF(C612="Yes",7,0)</f>
        <v>0</v>
      </c>
      <c r="AS574" s="931" t="s">
        <v>1739</v>
      </c>
    </row>
    <row r="575" spans="1:46" s="942" customFormat="1" ht="12.75" customHeight="1">
      <c r="A575" s="1026"/>
      <c r="B575" s="1117"/>
      <c r="C575" s="3039"/>
      <c r="D575" s="3039"/>
      <c r="E575" s="3039"/>
      <c r="F575" s="3039"/>
      <c r="G575" s="3039"/>
      <c r="H575" s="3039"/>
      <c r="I575" s="3039"/>
      <c r="J575" s="3039"/>
      <c r="K575" s="3039"/>
      <c r="L575" s="3039"/>
      <c r="M575" s="3039"/>
      <c r="N575" s="3039"/>
      <c r="O575" s="3039"/>
      <c r="P575" s="3039"/>
      <c r="Q575" s="3039"/>
      <c r="R575" s="3039"/>
      <c r="S575" s="3039"/>
      <c r="T575" s="3039"/>
      <c r="U575" s="3039"/>
      <c r="V575" s="3039"/>
      <c r="W575" s="3039"/>
      <c r="X575" s="3039"/>
      <c r="Y575" s="3039"/>
      <c r="Z575" s="3039"/>
      <c r="AA575" s="3039"/>
      <c r="AB575" s="3039"/>
      <c r="AC575" s="3039"/>
      <c r="AD575" s="3039"/>
      <c r="AE575" s="3039"/>
      <c r="AF575" s="3039"/>
      <c r="AG575" s="3039"/>
      <c r="AH575" s="3039"/>
      <c r="AI575" s="3039"/>
      <c r="AJ575" s="3039"/>
      <c r="AK575" s="1026"/>
      <c r="AL575" s="1026"/>
      <c r="AM575" s="1026"/>
      <c r="AN575" s="999"/>
      <c r="AO575" s="999"/>
      <c r="AP575" s="1151">
        <f>IF(C614="Yes",5,0)</f>
        <v>0</v>
      </c>
      <c r="AS575" s="3004">
        <f>IF(AND(AQ581&gt;0,AQ590&gt;0),(AQ581+AQ590)/2,0)</f>
        <v>0</v>
      </c>
      <c r="AT575" s="3004"/>
    </row>
    <row r="576" spans="1:46" s="942" customFormat="1" ht="12.75" customHeight="1">
      <c r="A576" s="1026"/>
      <c r="B576" s="1117"/>
      <c r="C576" s="3039"/>
      <c r="D576" s="3039"/>
      <c r="E576" s="3039"/>
      <c r="F576" s="3039"/>
      <c r="G576" s="3039"/>
      <c r="H576" s="3039"/>
      <c r="I576" s="3039"/>
      <c r="J576" s="3039"/>
      <c r="K576" s="3039"/>
      <c r="L576" s="3039"/>
      <c r="M576" s="3039"/>
      <c r="N576" s="3039"/>
      <c r="O576" s="3039"/>
      <c r="P576" s="3039"/>
      <c r="Q576" s="3039"/>
      <c r="R576" s="3039"/>
      <c r="S576" s="3039"/>
      <c r="T576" s="3039"/>
      <c r="U576" s="3039"/>
      <c r="V576" s="3039"/>
      <c r="W576" s="3039"/>
      <c r="X576" s="3039"/>
      <c r="Y576" s="3039"/>
      <c r="Z576" s="3039"/>
      <c r="AA576" s="3039"/>
      <c r="AB576" s="3039"/>
      <c r="AC576" s="3039"/>
      <c r="AD576" s="3039"/>
      <c r="AE576" s="3039"/>
      <c r="AF576" s="3039"/>
      <c r="AG576" s="3039"/>
      <c r="AH576" s="3039"/>
      <c r="AI576" s="3039"/>
      <c r="AJ576" s="3039"/>
      <c r="AK576" s="1026"/>
      <c r="AL576" s="1026"/>
      <c r="AM576" s="1026"/>
      <c r="AN576" s="999"/>
      <c r="AO576" s="1150" t="s">
        <v>615</v>
      </c>
      <c r="AP576" s="1151">
        <f>IF(C622="Yes",5,0)</f>
        <v>0</v>
      </c>
      <c r="AQ576" s="1001"/>
      <c r="AR576" s="1001"/>
      <c r="AS576" s="931" t="s">
        <v>2413</v>
      </c>
    </row>
    <row r="577" spans="1:81" s="942" customFormat="1" ht="12.75" customHeight="1">
      <c r="A577" s="1026"/>
      <c r="B577" s="1117"/>
      <c r="C577" s="3146" t="s">
        <v>1740</v>
      </c>
      <c r="D577" s="3146"/>
      <c r="E577" s="3146"/>
      <c r="F577" s="3146"/>
      <c r="G577" s="3146"/>
      <c r="H577" s="3146"/>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46"/>
      <c r="AD577" s="3146"/>
      <c r="AE577" s="3146"/>
      <c r="AF577" s="3146"/>
      <c r="AG577" s="3146"/>
      <c r="AH577" s="3146"/>
      <c r="AI577" s="3146"/>
      <c r="AJ577" s="3146"/>
      <c r="AK577" s="1026"/>
      <c r="AL577" s="1026"/>
      <c r="AM577" s="1026"/>
      <c r="AN577" s="999"/>
      <c r="AO577" s="999"/>
      <c r="AP577" s="1151">
        <f>IF(C624="Yes",3,0)</f>
        <v>0</v>
      </c>
      <c r="AS577" s="3004">
        <f>IF(AQ581=0,AQ590,AQ581)</f>
        <v>10</v>
      </c>
      <c r="AT577" s="3004"/>
    </row>
    <row r="578" spans="1:81" s="942" customFormat="1" ht="12.75" customHeight="1">
      <c r="A578" s="1026"/>
      <c r="B578" s="1117"/>
      <c r="C578" s="3146"/>
      <c r="D578" s="3146"/>
      <c r="E578" s="3146"/>
      <c r="F578" s="3146"/>
      <c r="G578" s="3146"/>
      <c r="H578" s="3146"/>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46"/>
      <c r="AD578" s="3146"/>
      <c r="AE578" s="3146"/>
      <c r="AF578" s="3146"/>
      <c r="AG578" s="3146"/>
      <c r="AH578" s="3146"/>
      <c r="AI578" s="3146"/>
      <c r="AJ578" s="3146"/>
      <c r="AK578" s="1026"/>
      <c r="AL578" s="1026"/>
      <c r="AM578" s="1026"/>
      <c r="AN578" s="999"/>
      <c r="AO578" s="1150" t="s">
        <v>820</v>
      </c>
      <c r="AP578" s="1151">
        <f>IF(C627="Yes",5,0)</f>
        <v>0</v>
      </c>
    </row>
    <row r="579" spans="1:81" s="942" customFormat="1" ht="12.75" customHeight="1">
      <c r="A579" s="1026"/>
      <c r="B579" s="1117"/>
      <c r="C579" s="3146"/>
      <c r="D579" s="3146"/>
      <c r="E579" s="3146"/>
      <c r="F579" s="3146"/>
      <c r="G579" s="3146"/>
      <c r="H579" s="3146"/>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46"/>
      <c r="AD579" s="3146"/>
      <c r="AE579" s="3146"/>
      <c r="AF579" s="3146"/>
      <c r="AG579" s="3146"/>
      <c r="AH579" s="3146"/>
      <c r="AI579" s="3146"/>
      <c r="AJ579" s="3146"/>
      <c r="AK579" s="1026"/>
      <c r="AL579" s="1026"/>
      <c r="AM579" s="1026"/>
      <c r="AN579" s="999"/>
      <c r="AO579" s="1150" t="s">
        <v>618</v>
      </c>
      <c r="AP579" s="1151">
        <f>IF(C636="Yes",5,0)</f>
        <v>0</v>
      </c>
    </row>
    <row r="580" spans="1:81" s="942" customFormat="1" ht="12" customHeight="1">
      <c r="A580" s="1026"/>
      <c r="B580" s="1117"/>
      <c r="C580" s="3146"/>
      <c r="D580" s="3146"/>
      <c r="E580" s="3146"/>
      <c r="F580" s="3146"/>
      <c r="G580" s="3146"/>
      <c r="H580" s="3146"/>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46"/>
      <c r="AD580" s="3146"/>
      <c r="AE580" s="3146"/>
      <c r="AF580" s="3146"/>
      <c r="AG580" s="3146"/>
      <c r="AH580" s="3146"/>
      <c r="AI580" s="3146"/>
      <c r="AJ580" s="3146"/>
      <c r="AK580" s="1026"/>
      <c r="AL580" s="1026"/>
      <c r="AM580" s="1026"/>
      <c r="AN580" s="999"/>
      <c r="AO580" s="1152"/>
      <c r="AP580" s="1153">
        <f>IF(C638="Yes",3,0)</f>
        <v>0</v>
      </c>
    </row>
    <row r="581" spans="1:81" s="942" customFormat="1" ht="12.5" customHeight="1">
      <c r="A581" s="1026"/>
      <c r="B581" s="1117"/>
      <c r="C581" s="3146"/>
      <c r="D581" s="3146"/>
      <c r="E581" s="3146"/>
      <c r="F581" s="3146"/>
      <c r="G581" s="3146"/>
      <c r="H581" s="3146"/>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46"/>
      <c r="AD581" s="3146"/>
      <c r="AE581" s="3146"/>
      <c r="AF581" s="3146"/>
      <c r="AG581" s="3146"/>
      <c r="AH581" s="3146"/>
      <c r="AI581" s="3146"/>
      <c r="AJ581" s="3146"/>
      <c r="AK581" s="1026"/>
      <c r="AL581" s="1026"/>
      <c r="AM581" s="1026"/>
      <c r="AN581" s="999"/>
      <c r="AO581" s="1154" t="s">
        <v>232</v>
      </c>
      <c r="AP581" s="1155">
        <f>SUM(AP572:AP580)</f>
        <v>0</v>
      </c>
      <c r="AQ581" s="3042">
        <f>IF(AP581&gt;0,AP581,0)</f>
        <v>0</v>
      </c>
      <c r="AR581" s="3042"/>
    </row>
    <row r="582" spans="1:81" s="942" customFormat="1" ht="12.75" customHeight="1">
      <c r="A582" s="1026"/>
      <c r="B582" s="1117"/>
      <c r="C582" s="3146"/>
      <c r="D582" s="3146"/>
      <c r="E582" s="3146"/>
      <c r="F582" s="3146"/>
      <c r="G582" s="3146"/>
      <c r="H582" s="3146"/>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46"/>
      <c r="AD582" s="3146"/>
      <c r="AE582" s="3146"/>
      <c r="AF582" s="3146"/>
      <c r="AG582" s="3146"/>
      <c r="AH582" s="3146"/>
      <c r="AI582" s="3146"/>
      <c r="AJ582" s="3146"/>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39" t="s">
        <v>1741</v>
      </c>
      <c r="D584" s="3039"/>
      <c r="E584" s="3039"/>
      <c r="F584" s="3039"/>
      <c r="G584" s="3039"/>
      <c r="H584" s="3039"/>
      <c r="I584" s="3039"/>
      <c r="J584" s="3039"/>
      <c r="K584" s="3039"/>
      <c r="L584" s="3039"/>
      <c r="M584" s="3039"/>
      <c r="N584" s="3039"/>
      <c r="O584" s="3039"/>
      <c r="P584" s="3039"/>
      <c r="Q584" s="3039"/>
      <c r="R584" s="3039"/>
      <c r="S584" s="3039"/>
      <c r="T584" s="3039"/>
      <c r="U584" s="3039"/>
      <c r="V584" s="3039"/>
      <c r="W584" s="3039"/>
      <c r="X584" s="3039"/>
      <c r="Y584" s="3039"/>
      <c r="Z584" s="3039"/>
      <c r="AA584" s="3039"/>
      <c r="AB584" s="3039"/>
      <c r="AC584" s="3039"/>
      <c r="AD584" s="3039"/>
      <c r="AE584" s="3039"/>
      <c r="AF584" s="3039"/>
      <c r="AG584" s="3039"/>
      <c r="AH584" s="3039"/>
      <c r="AI584" s="3039"/>
      <c r="AJ584" s="3039"/>
      <c r="AK584" s="1026"/>
      <c r="AL584" s="1026"/>
      <c r="AM584" s="1026"/>
      <c r="AN584" s="999"/>
      <c r="AO584" s="1150" t="s">
        <v>487</v>
      </c>
      <c r="AP584" s="1151">
        <f>IF(C657="Yes",5,0)</f>
        <v>5</v>
      </c>
    </row>
    <row r="585" spans="1:81" s="942" customFormat="1" ht="12.75" customHeight="1">
      <c r="A585" s="1026"/>
      <c r="B585" s="1117"/>
      <c r="C585" s="3039"/>
      <c r="D585" s="3039"/>
      <c r="E585" s="3039"/>
      <c r="F585" s="3039"/>
      <c r="G585" s="3039"/>
      <c r="H585" s="3039"/>
      <c r="I585" s="3039"/>
      <c r="J585" s="3039"/>
      <c r="K585" s="3039"/>
      <c r="L585" s="3039"/>
      <c r="M585" s="3039"/>
      <c r="N585" s="3039"/>
      <c r="O585" s="3039"/>
      <c r="P585" s="3039"/>
      <c r="Q585" s="3039"/>
      <c r="R585" s="3039"/>
      <c r="S585" s="3039"/>
      <c r="T585" s="3039"/>
      <c r="U585" s="3039"/>
      <c r="V585" s="3039"/>
      <c r="W585" s="3039"/>
      <c r="X585" s="3039"/>
      <c r="Y585" s="3039"/>
      <c r="Z585" s="3039"/>
      <c r="AA585" s="3039"/>
      <c r="AB585" s="3039"/>
      <c r="AC585" s="3039"/>
      <c r="AD585" s="3039"/>
      <c r="AE585" s="3039"/>
      <c r="AF585" s="3039"/>
      <c r="AG585" s="3039"/>
      <c r="AH585" s="3039"/>
      <c r="AI585" s="3039"/>
      <c r="AJ585" s="3039"/>
      <c r="AK585" s="1026"/>
      <c r="AL585" s="1026"/>
      <c r="AM585" s="1026"/>
      <c r="AN585" s="999"/>
      <c r="AO585" s="1150" t="s">
        <v>493</v>
      </c>
      <c r="AP585" s="1151">
        <f>IF(C664="Yes",5,0)</f>
        <v>0</v>
      </c>
    </row>
    <row r="586" spans="1:81" s="942" customFormat="1" ht="68.25" customHeight="1">
      <c r="A586" s="1026"/>
      <c r="B586" s="1117"/>
      <c r="C586" s="3039"/>
      <c r="D586" s="3039"/>
      <c r="E586" s="3039"/>
      <c r="F586" s="3039"/>
      <c r="G586" s="3039"/>
      <c r="H586" s="3039"/>
      <c r="I586" s="3039"/>
      <c r="J586" s="3039"/>
      <c r="K586" s="3039"/>
      <c r="L586" s="3039"/>
      <c r="M586" s="3039"/>
      <c r="N586" s="3039"/>
      <c r="O586" s="3039"/>
      <c r="P586" s="3039"/>
      <c r="Q586" s="3039"/>
      <c r="R586" s="3039"/>
      <c r="S586" s="3039"/>
      <c r="T586" s="3039"/>
      <c r="U586" s="3039"/>
      <c r="V586" s="3039"/>
      <c r="W586" s="3039"/>
      <c r="X586" s="3039"/>
      <c r="Y586" s="3039"/>
      <c r="Z586" s="3039"/>
      <c r="AA586" s="3039"/>
      <c r="AB586" s="3039"/>
      <c r="AC586" s="3039"/>
      <c r="AD586" s="3039"/>
      <c r="AE586" s="3039"/>
      <c r="AF586" s="3039"/>
      <c r="AG586" s="3039"/>
      <c r="AH586" s="3039"/>
      <c r="AI586" s="3039"/>
      <c r="AJ586" s="3039"/>
      <c r="AK586" s="1026"/>
      <c r="AL586" s="1026"/>
      <c r="AM586" s="1026"/>
      <c r="AN586" s="999"/>
      <c r="AO586" s="1150" t="s">
        <v>680</v>
      </c>
      <c r="AP586" s="1157">
        <f>IF(C668="Yes",5,0)</f>
        <v>0</v>
      </c>
      <c r="AQ586" s="1001"/>
      <c r="AR586" s="1001"/>
    </row>
    <row r="587" spans="1:81" s="942" customFormat="1" ht="12.5" customHeight="1">
      <c r="A587" s="1026"/>
      <c r="B587" s="1117"/>
      <c r="C587" s="1158" t="s">
        <v>1742</v>
      </c>
      <c r="AF587" s="1026"/>
      <c r="AG587" s="1026"/>
      <c r="AH587" s="1026"/>
      <c r="AI587" s="1026"/>
      <c r="AJ587" s="1026"/>
      <c r="AK587" s="1026"/>
      <c r="AL587" s="1026"/>
      <c r="AM587" s="1026"/>
      <c r="AN587" s="999"/>
      <c r="AO587" s="1150" t="s">
        <v>371</v>
      </c>
      <c r="AP587" s="1151">
        <f>IF(C672="Yes",5,0)</f>
        <v>0</v>
      </c>
    </row>
    <row r="588" spans="1:81" s="942" customFormat="1" ht="12.75" customHeight="1">
      <c r="A588" s="1026"/>
      <c r="B588" s="1117"/>
      <c r="C588" s="1159" t="s">
        <v>1743</v>
      </c>
      <c r="D588" s="1160"/>
      <c r="E588" s="1160"/>
      <c r="F588" s="1160"/>
      <c r="G588" s="1160"/>
      <c r="H588" s="1160"/>
      <c r="I588" s="1160"/>
      <c r="J588" s="1160"/>
      <c r="K588" s="1160"/>
      <c r="L588" s="1160"/>
      <c r="M588" s="1109"/>
      <c r="N588" s="1109"/>
      <c r="O588" s="1161"/>
      <c r="P588" s="1160"/>
      <c r="Q588" s="1160"/>
      <c r="R588" s="1109"/>
      <c r="S588" s="1109"/>
      <c r="T588" s="1160"/>
      <c r="U588" s="3040">
        <f>'Service Amenities Budget'!J10</f>
        <v>0</v>
      </c>
      <c r="V588" s="3040"/>
      <c r="W588" s="3040"/>
      <c r="X588" s="1160"/>
      <c r="Y588" s="1160"/>
      <c r="Z588" s="1160"/>
      <c r="AA588" s="1162"/>
      <c r="AB588" s="1163"/>
      <c r="AC588" s="1163"/>
      <c r="AD588" s="1163"/>
      <c r="AE588" s="1026"/>
      <c r="AF588" s="1026"/>
      <c r="AG588" s="1026"/>
      <c r="AH588" s="1026"/>
      <c r="AI588" s="1026"/>
      <c r="AJ588" s="1026"/>
      <c r="AK588" s="1026"/>
      <c r="AL588" s="1026"/>
      <c r="AM588" s="1026"/>
      <c r="AN588" s="999"/>
      <c r="AO588" s="1150" t="s">
        <v>372</v>
      </c>
      <c r="AP588" s="1151">
        <f>IF(C681="Yes",5,0)</f>
        <v>0</v>
      </c>
    </row>
    <row r="589" spans="1:81" s="942" customFormat="1" ht="12.75" customHeight="1">
      <c r="A589" s="1026"/>
      <c r="B589" s="1117"/>
      <c r="C589" s="1164" t="s">
        <v>1744</v>
      </c>
      <c r="D589" s="1165"/>
      <c r="E589" s="1165"/>
      <c r="F589" s="1165"/>
      <c r="G589" s="1165"/>
      <c r="H589" s="1165"/>
      <c r="I589" s="1165"/>
      <c r="J589" s="1165"/>
      <c r="K589" s="1165"/>
      <c r="L589" s="1165"/>
      <c r="M589" s="1149"/>
      <c r="N589" s="1149"/>
      <c r="O589" s="1165"/>
      <c r="P589" s="1165"/>
      <c r="Q589" s="1165"/>
      <c r="R589" s="1165"/>
      <c r="S589" s="1165"/>
      <c r="T589" s="1165"/>
      <c r="U589" s="3041">
        <f>'Service Amenities Budget'!J9</f>
        <v>88</v>
      </c>
      <c r="V589" s="3041"/>
      <c r="W589" s="3041"/>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232</v>
      </c>
      <c r="AP590" s="1169">
        <f>SUM(AP583:AP588)</f>
        <v>10</v>
      </c>
      <c r="AQ590" s="3042">
        <f>IF(AP590&gt;0,AP590,0)</f>
        <v>10</v>
      </c>
      <c r="AR590" s="3042"/>
    </row>
    <row r="591" spans="1:81" s="942" customFormat="1" ht="12.75" customHeight="1">
      <c r="A591" s="1026"/>
      <c r="B591" s="51"/>
      <c r="C591" s="1170" t="s">
        <v>1745</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1583</v>
      </c>
      <c r="F592" s="3034" t="s">
        <v>1746</v>
      </c>
      <c r="G592" s="3034"/>
      <c r="H592" s="3034"/>
      <c r="I592" s="3034"/>
      <c r="J592" s="3034"/>
      <c r="K592" s="3034"/>
      <c r="L592" s="3034"/>
      <c r="M592" s="3034"/>
      <c r="N592" s="3034"/>
      <c r="O592" s="3034"/>
      <c r="P592" s="3034"/>
      <c r="Q592" s="3034"/>
      <c r="R592" s="3034"/>
      <c r="S592" s="3034"/>
      <c r="T592" s="3034"/>
      <c r="U592" s="3034"/>
      <c r="V592" s="3034"/>
      <c r="W592" s="3034"/>
      <c r="X592" s="3034"/>
      <c r="Y592" s="3034"/>
      <c r="Z592" s="3034"/>
      <c r="AA592" s="3034"/>
      <c r="AB592" s="3034"/>
      <c r="AC592" s="3034"/>
      <c r="AD592" s="3034"/>
      <c r="AE592" s="3034"/>
      <c r="AF592" s="3034"/>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5"/>
      <c r="G593" s="3035"/>
      <c r="H593" s="3035"/>
      <c r="I593" s="3035"/>
      <c r="J593" s="3035"/>
      <c r="K593" s="3035"/>
      <c r="L593" s="3035"/>
      <c r="M593" s="3035"/>
      <c r="N593" s="3035"/>
      <c r="O593" s="3035"/>
      <c r="P593" s="3035"/>
      <c r="Q593" s="3035"/>
      <c r="R593" s="3035"/>
      <c r="S593" s="3035"/>
      <c r="T593" s="3035"/>
      <c r="U593" s="3035"/>
      <c r="V593" s="3035"/>
      <c r="W593" s="3035"/>
      <c r="X593" s="3035"/>
      <c r="Y593" s="3035"/>
      <c r="Z593" s="3035"/>
      <c r="AA593" s="3035"/>
      <c r="AB593" s="3035"/>
      <c r="AC593" s="3035"/>
      <c r="AD593" s="3035"/>
      <c r="AE593" s="3035"/>
      <c r="AF593" s="3035"/>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5"/>
      <c r="G594" s="3035"/>
      <c r="H594" s="3035"/>
      <c r="I594" s="3035"/>
      <c r="J594" s="3035"/>
      <c r="K594" s="3035"/>
      <c r="L594" s="3035"/>
      <c r="M594" s="3035"/>
      <c r="N594" s="3035"/>
      <c r="O594" s="3035"/>
      <c r="P594" s="3035"/>
      <c r="Q594" s="3035"/>
      <c r="R594" s="3035"/>
      <c r="S594" s="3035"/>
      <c r="T594" s="3035"/>
      <c r="U594" s="3035"/>
      <c r="V594" s="3035"/>
      <c r="W594" s="3035"/>
      <c r="X594" s="3035"/>
      <c r="Y594" s="3035"/>
      <c r="Z594" s="3035"/>
      <c r="AA594" s="3035"/>
      <c r="AB594" s="3035"/>
      <c r="AC594" s="3035"/>
      <c r="AD594" s="3035"/>
      <c r="AE594" s="3035"/>
      <c r="AF594" s="3035"/>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5"/>
      <c r="G595" s="3035"/>
      <c r="H595" s="3035"/>
      <c r="I595" s="3035"/>
      <c r="J595" s="3035"/>
      <c r="K595" s="3035"/>
      <c r="L595" s="3035"/>
      <c r="M595" s="3035"/>
      <c r="N595" s="3035"/>
      <c r="O595" s="3035"/>
      <c r="P595" s="3035"/>
      <c r="Q595" s="3035"/>
      <c r="R595" s="3035"/>
      <c r="S595" s="3035"/>
      <c r="T595" s="3035"/>
      <c r="U595" s="3035"/>
      <c r="V595" s="3035"/>
      <c r="W595" s="3035"/>
      <c r="X595" s="3035"/>
      <c r="Y595" s="3035"/>
      <c r="Z595" s="3035"/>
      <c r="AA595" s="3035"/>
      <c r="AB595" s="3035"/>
      <c r="AC595" s="3035"/>
      <c r="AD595" s="3035"/>
      <c r="AE595" s="3035"/>
      <c r="AF595" s="3035"/>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3" t="s">
        <v>625</v>
      </c>
      <c r="D596" s="3044"/>
      <c r="E596" s="1177"/>
      <c r="F596" s="1180" t="s">
        <v>1747</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5" t="s">
        <v>1748</v>
      </c>
      <c r="AG596" s="3045"/>
      <c r="AH596" s="3045"/>
      <c r="AI596" s="3045"/>
      <c r="AJ596" s="3045"/>
      <c r="AK596" s="3045"/>
      <c r="AL596" s="3046"/>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1585</v>
      </c>
      <c r="F599" s="3034" t="s">
        <v>1749</v>
      </c>
      <c r="G599" s="3034"/>
      <c r="H599" s="3034"/>
      <c r="I599" s="3034"/>
      <c r="J599" s="3034"/>
      <c r="K599" s="3034"/>
      <c r="L599" s="3034"/>
      <c r="M599" s="3034"/>
      <c r="N599" s="3034"/>
      <c r="O599" s="3034"/>
      <c r="P599" s="3034"/>
      <c r="Q599" s="3034"/>
      <c r="R599" s="3034"/>
      <c r="S599" s="3034"/>
      <c r="T599" s="3034"/>
      <c r="U599" s="3034"/>
      <c r="V599" s="3034"/>
      <c r="W599" s="3034"/>
      <c r="X599" s="3034"/>
      <c r="Y599" s="3034"/>
      <c r="Z599" s="3034"/>
      <c r="AA599" s="3034"/>
      <c r="AB599" s="3034"/>
      <c r="AC599" s="3034"/>
      <c r="AD599" s="3034"/>
      <c r="AE599" s="3034"/>
      <c r="AF599" s="3034"/>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5"/>
      <c r="G600" s="3035"/>
      <c r="H600" s="3035"/>
      <c r="I600" s="3035"/>
      <c r="J600" s="3035"/>
      <c r="K600" s="3035"/>
      <c r="L600" s="3035"/>
      <c r="M600" s="3035"/>
      <c r="N600" s="3035"/>
      <c r="O600" s="3035"/>
      <c r="P600" s="3035"/>
      <c r="Q600" s="3035"/>
      <c r="R600" s="3035"/>
      <c r="S600" s="3035"/>
      <c r="T600" s="3035"/>
      <c r="U600" s="3035"/>
      <c r="V600" s="3035"/>
      <c r="W600" s="3035"/>
      <c r="X600" s="3035"/>
      <c r="Y600" s="3035"/>
      <c r="Z600" s="3035"/>
      <c r="AA600" s="3035"/>
      <c r="AB600" s="3035"/>
      <c r="AC600" s="3035"/>
      <c r="AD600" s="3035"/>
      <c r="AE600" s="3035"/>
      <c r="AF600" s="3035"/>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5"/>
      <c r="G601" s="3035"/>
      <c r="H601" s="3035"/>
      <c r="I601" s="3035"/>
      <c r="J601" s="3035"/>
      <c r="K601" s="3035"/>
      <c r="L601" s="3035"/>
      <c r="M601" s="3035"/>
      <c r="N601" s="3035"/>
      <c r="O601" s="3035"/>
      <c r="P601" s="3035"/>
      <c r="Q601" s="3035"/>
      <c r="R601" s="3035"/>
      <c r="S601" s="3035"/>
      <c r="T601" s="3035"/>
      <c r="U601" s="3035"/>
      <c r="V601" s="3035"/>
      <c r="W601" s="3035"/>
      <c r="X601" s="3035"/>
      <c r="Y601" s="3035"/>
      <c r="Z601" s="3035"/>
      <c r="AA601" s="3035"/>
      <c r="AB601" s="3035"/>
      <c r="AC601" s="3035"/>
      <c r="AD601" s="3035"/>
      <c r="AE601" s="3035"/>
      <c r="AF601" s="3035"/>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5"/>
      <c r="G602" s="3035"/>
      <c r="H602" s="3035"/>
      <c r="I602" s="3035"/>
      <c r="J602" s="3035"/>
      <c r="K602" s="3035"/>
      <c r="L602" s="3035"/>
      <c r="M602" s="3035"/>
      <c r="N602" s="3035"/>
      <c r="O602" s="3035"/>
      <c r="P602" s="3035"/>
      <c r="Q602" s="3035"/>
      <c r="R602" s="3035"/>
      <c r="S602" s="3035"/>
      <c r="T602" s="3035"/>
      <c r="U602" s="3035"/>
      <c r="V602" s="3035"/>
      <c r="W602" s="3035"/>
      <c r="X602" s="3035"/>
      <c r="Y602" s="3035"/>
      <c r="Z602" s="3035"/>
      <c r="AA602" s="3035"/>
      <c r="AB602" s="3035"/>
      <c r="AC602" s="3035"/>
      <c r="AD602" s="3035"/>
      <c r="AE602" s="3035"/>
      <c r="AF602" s="3035"/>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5"/>
      <c r="G603" s="3035"/>
      <c r="H603" s="3035"/>
      <c r="I603" s="3035"/>
      <c r="J603" s="3035"/>
      <c r="K603" s="3035"/>
      <c r="L603" s="3035"/>
      <c r="M603" s="3035"/>
      <c r="N603" s="3035"/>
      <c r="O603" s="3035"/>
      <c r="P603" s="3035"/>
      <c r="Q603" s="3035"/>
      <c r="R603" s="3035"/>
      <c r="S603" s="3035"/>
      <c r="T603" s="3035"/>
      <c r="U603" s="3035"/>
      <c r="V603" s="3035"/>
      <c r="W603" s="3035"/>
      <c r="X603" s="3035"/>
      <c r="Y603" s="3035"/>
      <c r="Z603" s="3035"/>
      <c r="AA603" s="3035"/>
      <c r="AB603" s="3035"/>
      <c r="AC603" s="3035"/>
      <c r="AD603" s="3035"/>
      <c r="AE603" s="3035"/>
      <c r="AF603" s="3035"/>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3" t="s">
        <v>625</v>
      </c>
      <c r="D604" s="3044"/>
      <c r="E604" s="1145"/>
      <c r="F604" s="1180" t="s">
        <v>1750</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5" t="s">
        <v>1748</v>
      </c>
      <c r="AG604" s="3045"/>
      <c r="AH604" s="3045"/>
      <c r="AI604" s="3045"/>
      <c r="AJ604" s="3045"/>
      <c r="AK604" s="3045"/>
      <c r="AL604" s="3046"/>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1588</v>
      </c>
      <c r="F607" s="3034" t="s">
        <v>1751</v>
      </c>
      <c r="G607" s="3034"/>
      <c r="H607" s="3034"/>
      <c r="I607" s="3034"/>
      <c r="J607" s="3034"/>
      <c r="K607" s="3034"/>
      <c r="L607" s="3034"/>
      <c r="M607" s="3034"/>
      <c r="N607" s="3034"/>
      <c r="O607" s="3034"/>
      <c r="P607" s="3034"/>
      <c r="Q607" s="3034"/>
      <c r="R607" s="3034"/>
      <c r="S607" s="3034"/>
      <c r="T607" s="3034"/>
      <c r="U607" s="3034"/>
      <c r="V607" s="3034"/>
      <c r="W607" s="3034"/>
      <c r="X607" s="3034"/>
      <c r="Y607" s="3034"/>
      <c r="Z607" s="3034"/>
      <c r="AA607" s="3034"/>
      <c r="AB607" s="3034"/>
      <c r="AC607" s="3034"/>
      <c r="AD607" s="3034"/>
      <c r="AE607" s="3034"/>
      <c r="AF607" s="3034"/>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5"/>
      <c r="G608" s="3035"/>
      <c r="H608" s="3035"/>
      <c r="I608" s="3035"/>
      <c r="J608" s="3035"/>
      <c r="K608" s="3035"/>
      <c r="L608" s="3035"/>
      <c r="M608" s="3035"/>
      <c r="N608" s="3035"/>
      <c r="O608" s="3035"/>
      <c r="P608" s="3035"/>
      <c r="Q608" s="3035"/>
      <c r="R608" s="3035"/>
      <c r="S608" s="3035"/>
      <c r="T608" s="3035"/>
      <c r="U608" s="3035"/>
      <c r="V608" s="3035"/>
      <c r="W608" s="3035"/>
      <c r="X608" s="3035"/>
      <c r="Y608" s="3035"/>
      <c r="Z608" s="3035"/>
      <c r="AA608" s="3035"/>
      <c r="AB608" s="3035"/>
      <c r="AC608" s="3035"/>
      <c r="AD608" s="3035"/>
      <c r="AE608" s="3035"/>
      <c r="AF608" s="3035"/>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5"/>
      <c r="G609" s="3035"/>
      <c r="H609" s="3035"/>
      <c r="I609" s="3035"/>
      <c r="J609" s="3035"/>
      <c r="K609" s="3035"/>
      <c r="L609" s="3035"/>
      <c r="M609" s="3035"/>
      <c r="N609" s="3035"/>
      <c r="O609" s="3035"/>
      <c r="P609" s="3035"/>
      <c r="Q609" s="3035"/>
      <c r="R609" s="3035"/>
      <c r="S609" s="3035"/>
      <c r="T609" s="3035"/>
      <c r="U609" s="3035"/>
      <c r="V609" s="3035"/>
      <c r="W609" s="3035"/>
      <c r="X609" s="3035"/>
      <c r="Y609" s="3035"/>
      <c r="Z609" s="3035"/>
      <c r="AA609" s="3035"/>
      <c r="AB609" s="3035"/>
      <c r="AC609" s="3035"/>
      <c r="AD609" s="3035"/>
      <c r="AE609" s="3035"/>
      <c r="AF609" s="3035"/>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5"/>
      <c r="G610" s="3035"/>
      <c r="H610" s="3035"/>
      <c r="I610" s="3035"/>
      <c r="J610" s="3035"/>
      <c r="K610" s="3035"/>
      <c r="L610" s="3035"/>
      <c r="M610" s="3035"/>
      <c r="N610" s="3035"/>
      <c r="O610" s="3035"/>
      <c r="P610" s="3035"/>
      <c r="Q610" s="3035"/>
      <c r="R610" s="3035"/>
      <c r="S610" s="3035"/>
      <c r="T610" s="3035"/>
      <c r="U610" s="3035"/>
      <c r="V610" s="3035"/>
      <c r="W610" s="3035"/>
      <c r="X610" s="3035"/>
      <c r="Y610" s="3035"/>
      <c r="Z610" s="3035"/>
      <c r="AA610" s="3035"/>
      <c r="AB610" s="3035"/>
      <c r="AC610" s="3035"/>
      <c r="AD610" s="3035"/>
      <c r="AE610" s="3035"/>
      <c r="AF610" s="3035"/>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5"/>
      <c r="G611" s="3035"/>
      <c r="H611" s="3035"/>
      <c r="I611" s="3035"/>
      <c r="J611" s="3035"/>
      <c r="K611" s="3035"/>
      <c r="L611" s="3035"/>
      <c r="M611" s="3035"/>
      <c r="N611" s="3035"/>
      <c r="O611" s="3035"/>
      <c r="P611" s="3035"/>
      <c r="Q611" s="3035"/>
      <c r="R611" s="3035"/>
      <c r="S611" s="3035"/>
      <c r="T611" s="3035"/>
      <c r="U611" s="3035"/>
      <c r="V611" s="3035"/>
      <c r="W611" s="3035"/>
      <c r="X611" s="3035"/>
      <c r="Y611" s="3035"/>
      <c r="Z611" s="3035"/>
      <c r="AA611" s="3035"/>
      <c r="AB611" s="3035"/>
      <c r="AC611" s="3035"/>
      <c r="AD611" s="3035"/>
      <c r="AE611" s="3035"/>
      <c r="AF611" s="3035"/>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3" t="s">
        <v>625</v>
      </c>
      <c r="D612" s="3044"/>
      <c r="E612" s="1145"/>
      <c r="F612" s="1180" t="s">
        <v>1752</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5" t="s">
        <v>1753</v>
      </c>
      <c r="AG612" s="3045"/>
      <c r="AH612" s="3045"/>
      <c r="AI612" s="3045"/>
      <c r="AJ612" s="3045"/>
      <c r="AK612" s="3045"/>
      <c r="AL612" s="3046"/>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3" t="s">
        <v>625</v>
      </c>
      <c r="D614" s="3044"/>
      <c r="E614" s="1145"/>
      <c r="F614" s="1199" t="s">
        <v>1754</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5" t="s">
        <v>1748</v>
      </c>
      <c r="AG614" s="3045"/>
      <c r="AH614" s="3045"/>
      <c r="AI614" s="3045"/>
      <c r="AJ614" s="3045"/>
      <c r="AK614" s="3045"/>
      <c r="AL614" s="3046"/>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1755</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1756</v>
      </c>
      <c r="F618" s="3034" t="s">
        <v>1757</v>
      </c>
      <c r="G618" s="3034"/>
      <c r="H618" s="3034"/>
      <c r="I618" s="3034"/>
      <c r="J618" s="3034"/>
      <c r="K618" s="3034"/>
      <c r="L618" s="3034"/>
      <c r="M618" s="3034"/>
      <c r="N618" s="3034"/>
      <c r="O618" s="3034"/>
      <c r="P618" s="3034"/>
      <c r="Q618" s="3034"/>
      <c r="R618" s="3034"/>
      <c r="S618" s="3034"/>
      <c r="T618" s="3034"/>
      <c r="U618" s="3034"/>
      <c r="V618" s="3034"/>
      <c r="W618" s="3034"/>
      <c r="X618" s="3034"/>
      <c r="Y618" s="3034"/>
      <c r="Z618" s="3034"/>
      <c r="AA618" s="3034"/>
      <c r="AB618" s="3034"/>
      <c r="AC618" s="3034"/>
      <c r="AD618" s="3034"/>
      <c r="AE618" s="3034"/>
      <c r="AF618" s="3034"/>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5"/>
      <c r="G619" s="3035"/>
      <c r="H619" s="3035"/>
      <c r="I619" s="3035"/>
      <c r="J619" s="3035"/>
      <c r="K619" s="3035"/>
      <c r="L619" s="3035"/>
      <c r="M619" s="3035"/>
      <c r="N619" s="3035"/>
      <c r="O619" s="3035"/>
      <c r="P619" s="3035"/>
      <c r="Q619" s="3035"/>
      <c r="R619" s="3035"/>
      <c r="S619" s="3035"/>
      <c r="T619" s="3035"/>
      <c r="U619" s="3035"/>
      <c r="V619" s="3035"/>
      <c r="W619" s="3035"/>
      <c r="X619" s="3035"/>
      <c r="Y619" s="3035"/>
      <c r="Z619" s="3035"/>
      <c r="AA619" s="3035"/>
      <c r="AB619" s="3035"/>
      <c r="AC619" s="3035"/>
      <c r="AD619" s="3035"/>
      <c r="AE619" s="3035"/>
      <c r="AF619" s="3035"/>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035"/>
      <c r="G620" s="3035"/>
      <c r="H620" s="3035"/>
      <c r="I620" s="3035"/>
      <c r="J620" s="3035"/>
      <c r="K620" s="3035"/>
      <c r="L620" s="3035"/>
      <c r="M620" s="3035"/>
      <c r="N620" s="3035"/>
      <c r="O620" s="3035"/>
      <c r="P620" s="3035"/>
      <c r="Q620" s="3035"/>
      <c r="R620" s="3035"/>
      <c r="S620" s="3035"/>
      <c r="T620" s="3035"/>
      <c r="U620" s="3035"/>
      <c r="V620" s="3035"/>
      <c r="W620" s="3035"/>
      <c r="X620" s="3035"/>
      <c r="Y620" s="3035"/>
      <c r="Z620" s="3035"/>
      <c r="AA620" s="3035"/>
      <c r="AB620" s="3035"/>
      <c r="AC620" s="3035"/>
      <c r="AD620" s="3035"/>
      <c r="AE620" s="3035"/>
      <c r="AF620" s="3035"/>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5"/>
      <c r="G621" s="3035"/>
      <c r="H621" s="3035"/>
      <c r="I621" s="3035"/>
      <c r="J621" s="3035"/>
      <c r="K621" s="3035"/>
      <c r="L621" s="3035"/>
      <c r="M621" s="3035"/>
      <c r="N621" s="3035"/>
      <c r="O621" s="3035"/>
      <c r="P621" s="3035"/>
      <c r="Q621" s="3035"/>
      <c r="R621" s="3035"/>
      <c r="S621" s="3035"/>
      <c r="T621" s="3035"/>
      <c r="U621" s="3035"/>
      <c r="V621" s="3035"/>
      <c r="W621" s="3035"/>
      <c r="X621" s="3035"/>
      <c r="Y621" s="3035"/>
      <c r="Z621" s="3035"/>
      <c r="AA621" s="3035"/>
      <c r="AB621" s="3035"/>
      <c r="AC621" s="3035"/>
      <c r="AD621" s="3035"/>
      <c r="AE621" s="3035"/>
      <c r="AF621" s="3035"/>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3" t="s">
        <v>625</v>
      </c>
      <c r="D622" s="3044"/>
      <c r="E622" s="1145"/>
      <c r="F622" s="1180" t="s">
        <v>1758</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5" t="s">
        <v>1748</v>
      </c>
      <c r="AG622" s="3045"/>
      <c r="AH622" s="3045"/>
      <c r="AI622" s="3045"/>
      <c r="AJ622" s="3045"/>
      <c r="AK622" s="3045"/>
      <c r="AL622" s="3046"/>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3" t="s">
        <v>625</v>
      </c>
      <c r="D624" s="3044"/>
      <c r="E624" s="1177"/>
      <c r="F624" s="1180" t="s">
        <v>1759</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5" t="s">
        <v>1760</v>
      </c>
      <c r="AG624" s="3045"/>
      <c r="AH624" s="3045"/>
      <c r="AI624" s="3045"/>
      <c r="AJ624" s="3045"/>
      <c r="AK624" s="3045"/>
      <c r="AL624" s="3046"/>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3" t="s">
        <v>625</v>
      </c>
      <c r="D627" s="3044"/>
      <c r="E627" s="1173" t="s">
        <v>1761</v>
      </c>
      <c r="F627" s="3034" t="s">
        <v>1762</v>
      </c>
      <c r="G627" s="3034"/>
      <c r="H627" s="3034"/>
      <c r="I627" s="3034"/>
      <c r="J627" s="3034"/>
      <c r="K627" s="3034"/>
      <c r="L627" s="3034"/>
      <c r="M627" s="3034"/>
      <c r="N627" s="3034"/>
      <c r="O627" s="3034"/>
      <c r="P627" s="3034"/>
      <c r="Q627" s="3034"/>
      <c r="R627" s="3034"/>
      <c r="S627" s="3034"/>
      <c r="T627" s="3034"/>
      <c r="U627" s="3034"/>
      <c r="V627" s="3034"/>
      <c r="W627" s="3034"/>
      <c r="X627" s="3034"/>
      <c r="Y627" s="3034"/>
      <c r="Z627" s="3034"/>
      <c r="AA627" s="3034"/>
      <c r="AB627" s="3034"/>
      <c r="AC627" s="3034"/>
      <c r="AD627" s="3034"/>
      <c r="AE627" s="3034"/>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5"/>
      <c r="G628" s="3035"/>
      <c r="H628" s="3035"/>
      <c r="I628" s="3035"/>
      <c r="J628" s="3035"/>
      <c r="K628" s="3035"/>
      <c r="L628" s="3035"/>
      <c r="M628" s="3035"/>
      <c r="N628" s="3035"/>
      <c r="O628" s="3035"/>
      <c r="P628" s="3035"/>
      <c r="Q628" s="3035"/>
      <c r="R628" s="3035"/>
      <c r="S628" s="3035"/>
      <c r="T628" s="3035"/>
      <c r="U628" s="3035"/>
      <c r="V628" s="3035"/>
      <c r="W628" s="3035"/>
      <c r="X628" s="3035"/>
      <c r="Y628" s="3035"/>
      <c r="Z628" s="3035"/>
      <c r="AA628" s="3035"/>
      <c r="AB628" s="3035"/>
      <c r="AC628" s="3035"/>
      <c r="AD628" s="3035"/>
      <c r="AE628" s="3035"/>
      <c r="AF628" s="3142" t="s">
        <v>1748</v>
      </c>
      <c r="AG628" s="3142"/>
      <c r="AH628" s="3142"/>
      <c r="AI628" s="3142"/>
      <c r="AJ628" s="3142"/>
      <c r="AK628" s="3142"/>
      <c r="AL628" s="3143"/>
      <c r="AM628" s="1133"/>
      <c r="AN628" s="999"/>
      <c r="BS628" s="1133"/>
      <c r="BT628" s="1133"/>
      <c r="BY628" s="1133"/>
      <c r="BZ628" s="1133"/>
      <c r="CA628" s="1133"/>
      <c r="CB628" s="1133"/>
      <c r="CC628" s="1133"/>
    </row>
    <row r="629" spans="1:81" s="942" customFormat="1" ht="12.75" customHeight="1">
      <c r="A629" s="926"/>
      <c r="B629" s="51"/>
      <c r="C629" s="1191"/>
      <c r="D629" s="112"/>
      <c r="E629" s="1145"/>
      <c r="F629" s="3035"/>
      <c r="G629" s="3035"/>
      <c r="H629" s="3035"/>
      <c r="I629" s="3035"/>
      <c r="J629" s="3035"/>
      <c r="K629" s="3035"/>
      <c r="L629" s="3035"/>
      <c r="M629" s="3035"/>
      <c r="N629" s="3035"/>
      <c r="O629" s="3035"/>
      <c r="P629" s="3035"/>
      <c r="Q629" s="3035"/>
      <c r="R629" s="3035"/>
      <c r="S629" s="3035"/>
      <c r="T629" s="3035"/>
      <c r="U629" s="3035"/>
      <c r="V629" s="3035"/>
      <c r="W629" s="3035"/>
      <c r="X629" s="3035"/>
      <c r="Y629" s="3035"/>
      <c r="Z629" s="3035"/>
      <c r="AA629" s="3035"/>
      <c r="AB629" s="3035"/>
      <c r="AC629" s="3035"/>
      <c r="AD629" s="3035"/>
      <c r="AE629" s="3035"/>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1763</v>
      </c>
      <c r="F632" s="3140" t="s">
        <v>1764</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0"/>
      <c r="AG632" s="1210"/>
      <c r="AH632" s="1210"/>
      <c r="AI632" s="1210"/>
      <c r="AJ632" s="1210"/>
      <c r="AK632" s="1210"/>
      <c r="AL632" s="1211"/>
      <c r="AM632" s="1133"/>
    </row>
    <row r="633" spans="1:81" ht="13">
      <c r="A633" s="926"/>
      <c r="C633" s="1191"/>
      <c r="D633" s="112"/>
      <c r="E633" s="1145"/>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2"/>
      <c r="AG633" s="990"/>
      <c r="AH633" s="1024"/>
      <c r="AI633" s="1024"/>
      <c r="AJ633" s="1024"/>
      <c r="AK633" s="1024"/>
      <c r="AL633" s="1192"/>
      <c r="AM633" s="1133"/>
    </row>
    <row r="634" spans="1:81" s="942" customFormat="1" ht="12.75" customHeight="1">
      <c r="A634" s="926"/>
      <c r="B634" s="51"/>
      <c r="C634" s="1191"/>
      <c r="D634" s="112"/>
      <c r="E634" s="1145"/>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4"/>
      <c r="AG634" s="1024"/>
      <c r="AH634" s="1024"/>
      <c r="AI634" s="1024"/>
      <c r="AJ634" s="1024"/>
      <c r="AK634" s="1024"/>
      <c r="AL634" s="1192"/>
      <c r="AM634" s="1133"/>
      <c r="AN634" s="999"/>
    </row>
    <row r="635" spans="1:81" s="942" customFormat="1" ht="12.75" customHeight="1">
      <c r="A635" s="926"/>
      <c r="B635" s="51"/>
      <c r="C635" s="1200"/>
      <c r="D635" s="1024"/>
      <c r="E635" s="1024"/>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4"/>
      <c r="AG635" s="1024"/>
      <c r="AH635" s="1024"/>
      <c r="AI635" s="1024"/>
      <c r="AJ635" s="1024"/>
      <c r="AK635" s="1024"/>
      <c r="AL635" s="1192"/>
      <c r="AM635" s="1133"/>
      <c r="AN635" s="999"/>
    </row>
    <row r="636" spans="1:81" s="942" customFormat="1" ht="12.75" customHeight="1">
      <c r="A636" s="926"/>
      <c r="B636" s="51"/>
      <c r="C636" s="3043" t="s">
        <v>625</v>
      </c>
      <c r="D636" s="3044"/>
      <c r="E636" s="1145"/>
      <c r="F636" s="1213" t="s">
        <v>1765</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2" t="s">
        <v>1748</v>
      </c>
      <c r="AG636" s="3142"/>
      <c r="AH636" s="3142"/>
      <c r="AI636" s="3142"/>
      <c r="AJ636" s="3142"/>
      <c r="AK636" s="3142"/>
      <c r="AL636" s="3143"/>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3" t="s">
        <v>625</v>
      </c>
      <c r="D638" s="3044"/>
      <c r="E638" s="1177"/>
      <c r="F638" s="1213" t="s">
        <v>1766</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2" t="s">
        <v>1760</v>
      </c>
      <c r="AG638" s="3142"/>
      <c r="AH638" s="3142"/>
      <c r="AI638" s="3142"/>
      <c r="AJ638" s="3142"/>
      <c r="AK638" s="3142"/>
      <c r="AL638" s="3143"/>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1767</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1768</v>
      </c>
      <c r="F642" s="3034" t="s">
        <v>1769</v>
      </c>
      <c r="G642" s="3034"/>
      <c r="H642" s="3034"/>
      <c r="I642" s="3034"/>
      <c r="J642" s="3034"/>
      <c r="K642" s="3034"/>
      <c r="L642" s="3034"/>
      <c r="M642" s="3034"/>
      <c r="N642" s="3034"/>
      <c r="O642" s="3034"/>
      <c r="P642" s="3034"/>
      <c r="Q642" s="3034"/>
      <c r="R642" s="3034"/>
      <c r="S642" s="3034"/>
      <c r="T642" s="3034"/>
      <c r="U642" s="3034"/>
      <c r="V642" s="3034"/>
      <c r="W642" s="3034"/>
      <c r="X642" s="3034"/>
      <c r="Y642" s="3034"/>
      <c r="Z642" s="3034"/>
      <c r="AA642" s="3034"/>
      <c r="AB642" s="3034"/>
      <c r="AC642" s="3034"/>
      <c r="AD642" s="3034"/>
      <c r="AE642" s="3034"/>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5"/>
      <c r="G643" s="3035"/>
      <c r="H643" s="3035"/>
      <c r="I643" s="3035"/>
      <c r="J643" s="3035"/>
      <c r="K643" s="3035"/>
      <c r="L643" s="3035"/>
      <c r="M643" s="3035"/>
      <c r="N643" s="3035"/>
      <c r="O643" s="3035"/>
      <c r="P643" s="3035"/>
      <c r="Q643" s="3035"/>
      <c r="R643" s="3035"/>
      <c r="S643" s="3035"/>
      <c r="T643" s="3035"/>
      <c r="U643" s="3035"/>
      <c r="V643" s="3035"/>
      <c r="W643" s="3035"/>
      <c r="X643" s="3035"/>
      <c r="Y643" s="3035"/>
      <c r="Z643" s="3035"/>
      <c r="AA643" s="3035"/>
      <c r="AB643" s="3035"/>
      <c r="AC643" s="3035"/>
      <c r="AD643" s="3035"/>
      <c r="AE643" s="3035"/>
      <c r="AF643" s="1212"/>
      <c r="AG643" s="990"/>
      <c r="AH643" s="1024"/>
      <c r="AI643" s="1024"/>
      <c r="AJ643" s="1024"/>
      <c r="AK643" s="1024"/>
      <c r="AL643" s="1192"/>
      <c r="AM643" s="1133"/>
      <c r="AN643" s="1000"/>
      <c r="AO643" s="1024"/>
      <c r="AP643" s="1024"/>
    </row>
    <row r="644" spans="1:60" s="942" customFormat="1" ht="12.5" customHeight="1">
      <c r="A644" s="926"/>
      <c r="B644" s="51"/>
      <c r="C644" s="1191"/>
      <c r="D644" s="112"/>
      <c r="E644" s="1145"/>
      <c r="F644" s="3035"/>
      <c r="G644" s="3035"/>
      <c r="H644" s="3035"/>
      <c r="I644" s="3035"/>
      <c r="J644" s="3035"/>
      <c r="K644" s="3035"/>
      <c r="L644" s="3035"/>
      <c r="M644" s="3035"/>
      <c r="N644" s="3035"/>
      <c r="O644" s="3035"/>
      <c r="P644" s="3035"/>
      <c r="Q644" s="3035"/>
      <c r="R644" s="3035"/>
      <c r="S644" s="3035"/>
      <c r="T644" s="3035"/>
      <c r="U644" s="3035"/>
      <c r="V644" s="3035"/>
      <c r="W644" s="3035"/>
      <c r="X644" s="3035"/>
      <c r="Y644" s="3035"/>
      <c r="Z644" s="3035"/>
      <c r="AA644" s="3035"/>
      <c r="AB644" s="3035"/>
      <c r="AC644" s="3035"/>
      <c r="AD644" s="3035"/>
      <c r="AE644" s="3035"/>
      <c r="AF644" s="1024"/>
      <c r="AG644" s="1024"/>
      <c r="AH644" s="1024"/>
      <c r="AI644" s="1024"/>
      <c r="AJ644" s="1024"/>
      <c r="AK644" s="1024"/>
      <c r="AL644" s="1192"/>
      <c r="AM644" s="1133"/>
      <c r="AN644" s="999"/>
      <c r="AO644" s="1024"/>
      <c r="AP644" s="1024"/>
    </row>
    <row r="645" spans="1:60" s="942" customFormat="1" ht="12.75" customHeight="1">
      <c r="A645" s="926"/>
      <c r="B645" s="51"/>
      <c r="C645" s="3043" t="s">
        <v>577</v>
      </c>
      <c r="D645" s="3044"/>
      <c r="E645" s="1145"/>
      <c r="F645" s="1180" t="s">
        <v>1770</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2" t="s">
        <v>1748</v>
      </c>
      <c r="AG645" s="3142"/>
      <c r="AH645" s="3142"/>
      <c r="AI645" s="3142"/>
      <c r="AJ645" s="3142"/>
      <c r="AK645" s="3142"/>
      <c r="AL645" s="3143"/>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25" customHeight="1">
      <c r="A648" s="926"/>
      <c r="C648" s="1209"/>
      <c r="D648" s="1210"/>
      <c r="E648" s="1173" t="s">
        <v>1771</v>
      </c>
      <c r="F648" s="3034" t="s">
        <v>1772</v>
      </c>
      <c r="G648" s="3034"/>
      <c r="H648" s="3034"/>
      <c r="I648" s="3034"/>
      <c r="J648" s="3034"/>
      <c r="K648" s="3034"/>
      <c r="L648" s="3034"/>
      <c r="M648" s="3034"/>
      <c r="N648" s="3034"/>
      <c r="O648" s="3034"/>
      <c r="P648" s="3034"/>
      <c r="Q648" s="3034"/>
      <c r="R648" s="3034"/>
      <c r="S648" s="3034"/>
      <c r="T648" s="3034"/>
      <c r="U648" s="3034"/>
      <c r="V648" s="3034"/>
      <c r="W648" s="3034"/>
      <c r="X648" s="3034"/>
      <c r="Y648" s="3034"/>
      <c r="Z648" s="3034"/>
      <c r="AA648" s="3034"/>
      <c r="AB648" s="3034"/>
      <c r="AC648" s="3034"/>
      <c r="AD648" s="3034"/>
      <c r="AE648" s="3034"/>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035"/>
      <c r="G649" s="3035"/>
      <c r="H649" s="3035"/>
      <c r="I649" s="3035"/>
      <c r="J649" s="3035"/>
      <c r="K649" s="3035"/>
      <c r="L649" s="3035"/>
      <c r="M649" s="3035"/>
      <c r="N649" s="3035"/>
      <c r="O649" s="3035"/>
      <c r="P649" s="3035"/>
      <c r="Q649" s="3035"/>
      <c r="R649" s="3035"/>
      <c r="S649" s="3035"/>
      <c r="T649" s="3035"/>
      <c r="U649" s="3035"/>
      <c r="V649" s="3035"/>
      <c r="W649" s="3035"/>
      <c r="X649" s="3035"/>
      <c r="Y649" s="3035"/>
      <c r="Z649" s="3035"/>
      <c r="AA649" s="3035"/>
      <c r="AB649" s="3035"/>
      <c r="AC649" s="3035"/>
      <c r="AD649" s="3035"/>
      <c r="AE649" s="3035"/>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5"/>
      <c r="G650" s="3035"/>
      <c r="H650" s="3035"/>
      <c r="I650" s="3035"/>
      <c r="J650" s="3035"/>
      <c r="K650" s="3035"/>
      <c r="L650" s="3035"/>
      <c r="M650" s="3035"/>
      <c r="N650" s="3035"/>
      <c r="O650" s="3035"/>
      <c r="P650" s="3035"/>
      <c r="Q650" s="3035"/>
      <c r="R650" s="3035"/>
      <c r="S650" s="3035"/>
      <c r="T650" s="3035"/>
      <c r="U650" s="3035"/>
      <c r="V650" s="3035"/>
      <c r="W650" s="3035"/>
      <c r="X650" s="3035"/>
      <c r="Y650" s="3035"/>
      <c r="Z650" s="3035"/>
      <c r="AA650" s="3035"/>
      <c r="AB650" s="3035"/>
      <c r="AC650" s="3035"/>
      <c r="AD650" s="3035"/>
      <c r="AE650" s="3035"/>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5"/>
      <c r="G651" s="3035"/>
      <c r="H651" s="3035"/>
      <c r="I651" s="3035"/>
      <c r="J651" s="3035"/>
      <c r="K651" s="3035"/>
      <c r="L651" s="3035"/>
      <c r="M651" s="3035"/>
      <c r="N651" s="3035"/>
      <c r="O651" s="3035"/>
      <c r="P651" s="3035"/>
      <c r="Q651" s="3035"/>
      <c r="R651" s="3035"/>
      <c r="S651" s="3035"/>
      <c r="T651" s="3035"/>
      <c r="U651" s="3035"/>
      <c r="V651" s="3035"/>
      <c r="W651" s="3035"/>
      <c r="X651" s="3035"/>
      <c r="Y651" s="3035"/>
      <c r="Z651" s="3035"/>
      <c r="AA651" s="3035"/>
      <c r="AB651" s="3035"/>
      <c r="AC651" s="3035"/>
      <c r="AD651" s="3035"/>
      <c r="AE651" s="3035"/>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5"/>
      <c r="G652" s="3035"/>
      <c r="H652" s="3035"/>
      <c r="I652" s="3035"/>
      <c r="J652" s="3035"/>
      <c r="K652" s="3035"/>
      <c r="L652" s="3035"/>
      <c r="M652" s="3035"/>
      <c r="N652" s="3035"/>
      <c r="O652" s="3035"/>
      <c r="P652" s="3035"/>
      <c r="Q652" s="3035"/>
      <c r="R652" s="3035"/>
      <c r="S652" s="3035"/>
      <c r="T652" s="3035"/>
      <c r="U652" s="3035"/>
      <c r="V652" s="3035"/>
      <c r="W652" s="3035"/>
      <c r="X652" s="3035"/>
      <c r="Y652" s="3035"/>
      <c r="Z652" s="3035"/>
      <c r="AA652" s="3035"/>
      <c r="AB652" s="3035"/>
      <c r="AC652" s="3035"/>
      <c r="AD652" s="3035"/>
      <c r="AE652" s="3035"/>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5"/>
      <c r="G653" s="3035"/>
      <c r="H653" s="3035"/>
      <c r="I653" s="3035"/>
      <c r="J653" s="3035"/>
      <c r="K653" s="3035"/>
      <c r="L653" s="3035"/>
      <c r="M653" s="3035"/>
      <c r="N653" s="3035"/>
      <c r="O653" s="3035"/>
      <c r="P653" s="3035"/>
      <c r="Q653" s="3035"/>
      <c r="R653" s="3035"/>
      <c r="S653" s="3035"/>
      <c r="T653" s="3035"/>
      <c r="U653" s="3035"/>
      <c r="V653" s="3035"/>
      <c r="W653" s="3035"/>
      <c r="X653" s="3035"/>
      <c r="Y653" s="3035"/>
      <c r="Z653" s="3035"/>
      <c r="AA653" s="3035"/>
      <c r="AB653" s="3035"/>
      <c r="AC653" s="3035"/>
      <c r="AD653" s="3035"/>
      <c r="AE653" s="3035"/>
      <c r="AF653" s="1223"/>
      <c r="AG653" s="1223"/>
      <c r="AH653" s="1223"/>
      <c r="AI653" s="1223"/>
      <c r="AJ653" s="1223"/>
      <c r="AK653" s="1223"/>
      <c r="AL653" s="1224"/>
      <c r="AM653" s="1133"/>
      <c r="AN653" s="999"/>
    </row>
    <row r="654" spans="1:60" s="942" customFormat="1" ht="12.75" customHeight="1">
      <c r="A654" s="926"/>
      <c r="B654" s="51"/>
      <c r="C654" s="1225"/>
      <c r="D654" s="1190"/>
      <c r="E654" s="1177"/>
      <c r="F654" s="3035"/>
      <c r="G654" s="3035"/>
      <c r="H654" s="3035"/>
      <c r="I654" s="3035"/>
      <c r="J654" s="3035"/>
      <c r="K654" s="3035"/>
      <c r="L654" s="3035"/>
      <c r="M654" s="3035"/>
      <c r="N654" s="3035"/>
      <c r="O654" s="3035"/>
      <c r="P654" s="3035"/>
      <c r="Q654" s="3035"/>
      <c r="R654" s="3035"/>
      <c r="S654" s="3035"/>
      <c r="T654" s="3035"/>
      <c r="U654" s="3035"/>
      <c r="V654" s="3035"/>
      <c r="W654" s="3035"/>
      <c r="X654" s="3035"/>
      <c r="Y654" s="3035"/>
      <c r="Z654" s="3035"/>
      <c r="AA654" s="3035"/>
      <c r="AB654" s="3035"/>
      <c r="AC654" s="3035"/>
      <c r="AD654" s="3035"/>
      <c r="AE654" s="3035"/>
      <c r="AF654" s="1223"/>
      <c r="AG654" s="1223"/>
      <c r="AH654" s="1223"/>
      <c r="AI654" s="1223"/>
      <c r="AJ654" s="1223"/>
      <c r="AK654" s="1223"/>
      <c r="AL654" s="1224"/>
      <c r="AM654" s="1133"/>
      <c r="AN654" s="999"/>
    </row>
    <row r="655" spans="1:60" s="942" customFormat="1" ht="12.75" customHeight="1">
      <c r="A655" s="926"/>
      <c r="B655" s="51"/>
      <c r="C655" s="1225"/>
      <c r="D655" s="1190"/>
      <c r="E655" s="1177"/>
      <c r="F655" s="3035"/>
      <c r="G655" s="3035"/>
      <c r="H655" s="3035"/>
      <c r="I655" s="3035"/>
      <c r="J655" s="3035"/>
      <c r="K655" s="3035"/>
      <c r="L655" s="3035"/>
      <c r="M655" s="3035"/>
      <c r="N655" s="3035"/>
      <c r="O655" s="3035"/>
      <c r="P655" s="3035"/>
      <c r="Q655" s="3035"/>
      <c r="R655" s="3035"/>
      <c r="S655" s="3035"/>
      <c r="T655" s="3035"/>
      <c r="U655" s="3035"/>
      <c r="V655" s="3035"/>
      <c r="W655" s="3035"/>
      <c r="X655" s="3035"/>
      <c r="Y655" s="3035"/>
      <c r="Z655" s="3035"/>
      <c r="AA655" s="3035"/>
      <c r="AB655" s="3035"/>
      <c r="AC655" s="3035"/>
      <c r="AD655" s="3035"/>
      <c r="AE655" s="3035"/>
      <c r="AF655" s="1223"/>
      <c r="AG655" s="1223"/>
      <c r="AH655" s="1223"/>
      <c r="AI655" s="1223"/>
      <c r="AJ655" s="1223"/>
      <c r="AK655" s="1223"/>
      <c r="AL655" s="1224"/>
      <c r="AM655" s="1133"/>
      <c r="AN655" s="999"/>
    </row>
    <row r="656" spans="1:60" s="942" customFormat="1" ht="17.25" customHeight="1">
      <c r="A656" s="926"/>
      <c r="B656" s="51"/>
      <c r="C656" s="1225"/>
      <c r="D656" s="1190"/>
      <c r="E656" s="1177"/>
      <c r="F656" s="3035"/>
      <c r="G656" s="3035"/>
      <c r="H656" s="3035"/>
      <c r="I656" s="3035"/>
      <c r="J656" s="3035"/>
      <c r="K656" s="3035"/>
      <c r="L656" s="3035"/>
      <c r="M656" s="3035"/>
      <c r="N656" s="3035"/>
      <c r="O656" s="3035"/>
      <c r="P656" s="3035"/>
      <c r="Q656" s="3035"/>
      <c r="R656" s="3035"/>
      <c r="S656" s="3035"/>
      <c r="T656" s="3035"/>
      <c r="U656" s="3035"/>
      <c r="V656" s="3035"/>
      <c r="W656" s="3035"/>
      <c r="X656" s="3035"/>
      <c r="Y656" s="3035"/>
      <c r="Z656" s="3035"/>
      <c r="AA656" s="3035"/>
      <c r="AB656" s="3035"/>
      <c r="AC656" s="3035"/>
      <c r="AD656" s="3035"/>
      <c r="AE656" s="3035"/>
      <c r="AF656" s="1024"/>
      <c r="AG656" s="1024"/>
      <c r="AH656" s="1024"/>
      <c r="AI656" s="1024"/>
      <c r="AJ656" s="1024"/>
      <c r="AK656" s="1024"/>
      <c r="AL656" s="1192"/>
      <c r="AM656" s="1133"/>
      <c r="AN656" s="999"/>
    </row>
    <row r="657" spans="1:54" s="942" customFormat="1" ht="12.75" customHeight="1">
      <c r="A657" s="926"/>
      <c r="B657" s="51"/>
      <c r="C657" s="3043" t="s">
        <v>577</v>
      </c>
      <c r="D657" s="3044"/>
      <c r="E657" s="1177"/>
      <c r="F657" s="1215" t="s">
        <v>1773</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2" t="s">
        <v>1748</v>
      </c>
      <c r="AG657" s="3142"/>
      <c r="AH657" s="3142"/>
      <c r="AI657" s="3142"/>
      <c r="AJ657" s="3142"/>
      <c r="AK657" s="3142"/>
      <c r="AL657" s="3143"/>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1774</v>
      </c>
      <c r="F660" s="3034" t="s">
        <v>1775</v>
      </c>
      <c r="G660" s="3034"/>
      <c r="H660" s="3034"/>
      <c r="I660" s="3034"/>
      <c r="J660" s="3034"/>
      <c r="K660" s="3034"/>
      <c r="L660" s="3034"/>
      <c r="M660" s="3034"/>
      <c r="N660" s="3034"/>
      <c r="O660" s="3034"/>
      <c r="P660" s="3034"/>
      <c r="Q660" s="3034"/>
      <c r="R660" s="3034"/>
      <c r="S660" s="3034"/>
      <c r="T660" s="3034"/>
      <c r="U660" s="3034"/>
      <c r="V660" s="3034"/>
      <c r="W660" s="3034"/>
      <c r="X660" s="3034"/>
      <c r="Y660" s="3034"/>
      <c r="Z660" s="3034"/>
      <c r="AA660" s="3034"/>
      <c r="AB660" s="3034"/>
      <c r="AC660" s="3034"/>
      <c r="AD660" s="3034"/>
      <c r="AE660" s="3034"/>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5"/>
      <c r="G661" s="3035"/>
      <c r="H661" s="3035"/>
      <c r="I661" s="3035"/>
      <c r="J661" s="3035"/>
      <c r="K661" s="3035"/>
      <c r="L661" s="3035"/>
      <c r="M661" s="3035"/>
      <c r="N661" s="3035"/>
      <c r="O661" s="3035"/>
      <c r="P661" s="3035"/>
      <c r="Q661" s="3035"/>
      <c r="R661" s="3035"/>
      <c r="S661" s="3035"/>
      <c r="T661" s="3035"/>
      <c r="U661" s="3035"/>
      <c r="V661" s="3035"/>
      <c r="W661" s="3035"/>
      <c r="X661" s="3035"/>
      <c r="Y661" s="3035"/>
      <c r="Z661" s="3035"/>
      <c r="AA661" s="3035"/>
      <c r="AB661" s="3035"/>
      <c r="AC661" s="3035"/>
      <c r="AD661" s="3035"/>
      <c r="AE661" s="3035"/>
      <c r="AF661" s="1229"/>
      <c r="AG661" s="1229"/>
      <c r="AH661" s="1229"/>
      <c r="AI661" s="1229"/>
      <c r="AJ661" s="1229"/>
      <c r="AK661" s="1229"/>
      <c r="AL661" s="1179"/>
      <c r="AM661" s="1133"/>
      <c r="AN661" s="999"/>
      <c r="AO661" s="942" t="s">
        <v>1776</v>
      </c>
      <c r="AP661" s="942">
        <v>5</v>
      </c>
      <c r="AQ661" s="1228"/>
    </row>
    <row r="662" spans="1:54" s="942" customFormat="1" ht="12.75" customHeight="1">
      <c r="A662" s="926"/>
      <c r="B662" s="51"/>
      <c r="C662" s="1225"/>
      <c r="D662" s="1190"/>
      <c r="E662" s="1177"/>
      <c r="F662" s="3035"/>
      <c r="G662" s="3035"/>
      <c r="H662" s="3035"/>
      <c r="I662" s="3035"/>
      <c r="J662" s="3035"/>
      <c r="K662" s="3035"/>
      <c r="L662" s="3035"/>
      <c r="M662" s="3035"/>
      <c r="N662" s="3035"/>
      <c r="O662" s="3035"/>
      <c r="P662" s="3035"/>
      <c r="Q662" s="3035"/>
      <c r="R662" s="3035"/>
      <c r="S662" s="3035"/>
      <c r="T662" s="3035"/>
      <c r="U662" s="3035"/>
      <c r="V662" s="3035"/>
      <c r="W662" s="3035"/>
      <c r="X662" s="3035"/>
      <c r="Y662" s="3035"/>
      <c r="Z662" s="3035"/>
      <c r="AA662" s="3035"/>
      <c r="AB662" s="3035"/>
      <c r="AC662" s="3035"/>
      <c r="AD662" s="3035"/>
      <c r="AE662" s="3035"/>
      <c r="AF662" s="1229"/>
      <c r="AG662" s="1229"/>
      <c r="AH662" s="1229"/>
      <c r="AI662" s="1229"/>
      <c r="AJ662" s="1229"/>
      <c r="AK662" s="1229"/>
      <c r="AL662" s="1179"/>
      <c r="AM662" s="1133"/>
      <c r="AN662" s="999"/>
      <c r="AO662" s="942" t="s">
        <v>1777</v>
      </c>
      <c r="AP662" s="942">
        <v>5</v>
      </c>
      <c r="AQ662" s="1230"/>
    </row>
    <row r="663" spans="1:54" s="942" customFormat="1" ht="12.75" customHeight="1">
      <c r="A663" s="926"/>
      <c r="B663" s="51"/>
      <c r="C663" s="1225"/>
      <c r="D663" s="1190"/>
      <c r="E663" s="1177"/>
      <c r="F663" s="3035"/>
      <c r="G663" s="3035"/>
      <c r="H663" s="3035"/>
      <c r="I663" s="3035"/>
      <c r="J663" s="3035"/>
      <c r="K663" s="3035"/>
      <c r="L663" s="3035"/>
      <c r="M663" s="3035"/>
      <c r="N663" s="3035"/>
      <c r="O663" s="3035"/>
      <c r="P663" s="3035"/>
      <c r="Q663" s="3035"/>
      <c r="R663" s="3035"/>
      <c r="S663" s="3035"/>
      <c r="T663" s="3035"/>
      <c r="U663" s="3035"/>
      <c r="V663" s="3035"/>
      <c r="W663" s="3035"/>
      <c r="X663" s="3035"/>
      <c r="Y663" s="3035"/>
      <c r="Z663" s="3035"/>
      <c r="AA663" s="3035"/>
      <c r="AB663" s="3035"/>
      <c r="AC663" s="3035"/>
      <c r="AD663" s="3035"/>
      <c r="AE663" s="3035"/>
      <c r="AF663" s="1024"/>
      <c r="AG663" s="1024"/>
      <c r="AH663" s="1024"/>
      <c r="AI663" s="1024"/>
      <c r="AJ663" s="1024"/>
      <c r="AK663" s="1024"/>
      <c r="AL663" s="1192"/>
      <c r="AM663" s="1133"/>
      <c r="AN663" s="999"/>
      <c r="AO663" s="942" t="s">
        <v>1778</v>
      </c>
      <c r="AP663" s="942">
        <v>5</v>
      </c>
      <c r="AQ663" s="1231"/>
    </row>
    <row r="664" spans="1:54" s="1024" customFormat="1" ht="12.75" customHeight="1">
      <c r="A664" s="926"/>
      <c r="B664" s="51"/>
      <c r="C664" s="3043" t="s">
        <v>625</v>
      </c>
      <c r="D664" s="3044"/>
      <c r="E664" s="1177"/>
      <c r="F664" s="1180" t="s">
        <v>1779</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2" t="s">
        <v>1748</v>
      </c>
      <c r="AG664" s="3142"/>
      <c r="AH664" s="3142"/>
      <c r="AI664" s="3142"/>
      <c r="AJ664" s="3142"/>
      <c r="AK664" s="3142"/>
      <c r="AL664" s="3143"/>
      <c r="AM664" s="1133"/>
      <c r="AN664" s="1232"/>
      <c r="AO664" s="942" t="s">
        <v>1780</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1781</v>
      </c>
      <c r="AP665" s="942">
        <v>5</v>
      </c>
    </row>
    <row r="666" spans="1:54" s="942" customFormat="1" ht="12.75" customHeight="1">
      <c r="A666" s="926"/>
      <c r="B666" s="51"/>
      <c r="C666" s="1201"/>
      <c r="D666" s="1193"/>
      <c r="E666" s="1194"/>
      <c r="F666" s="1187" t="s">
        <v>1755</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1782</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1783</v>
      </c>
      <c r="AP667" s="942">
        <v>5</v>
      </c>
    </row>
    <row r="668" spans="1:54" s="1001" customFormat="1" ht="12.75" customHeight="1">
      <c r="A668" s="926"/>
      <c r="B668" s="51"/>
      <c r="C668" s="3144" t="s">
        <v>625</v>
      </c>
      <c r="D668" s="3145"/>
      <c r="E668" s="1173" t="s">
        <v>1784</v>
      </c>
      <c r="F668" s="3034" t="s">
        <v>1785</v>
      </c>
      <c r="G668" s="3034"/>
      <c r="H668" s="3034"/>
      <c r="I668" s="3034"/>
      <c r="J668" s="3034"/>
      <c r="K668" s="3034"/>
      <c r="L668" s="3034"/>
      <c r="M668" s="3034"/>
      <c r="N668" s="3034"/>
      <c r="O668" s="3034"/>
      <c r="P668" s="3034"/>
      <c r="Q668" s="3034"/>
      <c r="R668" s="3034"/>
      <c r="S668" s="3034"/>
      <c r="T668" s="3034"/>
      <c r="U668" s="3034"/>
      <c r="V668" s="3034"/>
      <c r="W668" s="3034"/>
      <c r="X668" s="3034"/>
      <c r="Y668" s="3034"/>
      <c r="Z668" s="3034"/>
      <c r="AA668" s="3034"/>
      <c r="AB668" s="3034"/>
      <c r="AC668" s="3034"/>
      <c r="AD668" s="3034"/>
      <c r="AE668" s="3034"/>
      <c r="AF668" s="3138" t="s">
        <v>1748</v>
      </c>
      <c r="AG668" s="3138"/>
      <c r="AH668" s="3138"/>
      <c r="AI668" s="3138"/>
      <c r="AJ668" s="3138"/>
      <c r="AK668" s="3138"/>
      <c r="AL668" s="3139"/>
      <c r="AM668" s="1133"/>
      <c r="AN668" s="1232"/>
      <c r="AO668" s="942" t="s">
        <v>1786</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5"/>
      <c r="G669" s="3035"/>
      <c r="H669" s="3035"/>
      <c r="I669" s="3035"/>
      <c r="J669" s="3035"/>
      <c r="K669" s="3035"/>
      <c r="L669" s="3035"/>
      <c r="M669" s="3035"/>
      <c r="N669" s="3035"/>
      <c r="O669" s="3035"/>
      <c r="P669" s="3035"/>
      <c r="Q669" s="3035"/>
      <c r="R669" s="3035"/>
      <c r="S669" s="3035"/>
      <c r="T669" s="3035"/>
      <c r="U669" s="3035"/>
      <c r="V669" s="3035"/>
      <c r="W669" s="3035"/>
      <c r="X669" s="3035"/>
      <c r="Y669" s="3035"/>
      <c r="Z669" s="3035"/>
      <c r="AA669" s="3035"/>
      <c r="AB669" s="3035"/>
      <c r="AC669" s="3035"/>
      <c r="AD669" s="3035"/>
      <c r="AE669" s="3035"/>
      <c r="AF669" s="1229"/>
      <c r="AG669" s="1229"/>
      <c r="AH669" s="1229"/>
      <c r="AI669" s="1229"/>
      <c r="AJ669" s="1229"/>
      <c r="AK669" s="1229"/>
      <c r="AL669" s="1179"/>
      <c r="AM669" s="1133"/>
      <c r="AN669" s="1233"/>
      <c r="AO669" s="942"/>
      <c r="AP669" s="942"/>
      <c r="AQ669" s="942"/>
      <c r="AR669" s="942"/>
      <c r="AS669" s="1234"/>
      <c r="AT669" s="942"/>
      <c r="AU669" s="942"/>
      <c r="AV669" s="942"/>
      <c r="AW669" s="1234" t="s">
        <v>1787</v>
      </c>
      <c r="AX669" s="942"/>
      <c r="AY669" s="942"/>
      <c r="AZ669" s="942"/>
      <c r="BA669" s="1234" t="s">
        <v>1788</v>
      </c>
      <c r="BB669" s="942"/>
    </row>
    <row r="670" spans="1:54" s="942" customFormat="1" ht="17.75" customHeight="1">
      <c r="A670" s="926"/>
      <c r="B670" s="51"/>
      <c r="C670" s="1235"/>
      <c r="D670" s="1183"/>
      <c r="E670" s="1184"/>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1789</v>
      </c>
      <c r="AS671" s="1067">
        <v>3</v>
      </c>
      <c r="AT671" s="1238"/>
      <c r="AW671" s="1240">
        <v>0.4</v>
      </c>
      <c r="AX671" s="1238">
        <v>3</v>
      </c>
      <c r="BA671" s="1240">
        <v>0.4</v>
      </c>
      <c r="BB671" s="1238">
        <v>4</v>
      </c>
    </row>
    <row r="672" spans="1:54" s="942" customFormat="1" ht="12.75" customHeight="1">
      <c r="A672" s="926"/>
      <c r="B672" s="51"/>
      <c r="C672" s="3043" t="s">
        <v>625</v>
      </c>
      <c r="D672" s="3044"/>
      <c r="E672" s="1173" t="s">
        <v>1790</v>
      </c>
      <c r="F672" s="3034" t="s">
        <v>1791</v>
      </c>
      <c r="G672" s="3034"/>
      <c r="H672" s="3034"/>
      <c r="I672" s="3034"/>
      <c r="J672" s="3034"/>
      <c r="K672" s="3034"/>
      <c r="L672" s="3034"/>
      <c r="M672" s="3034"/>
      <c r="N672" s="3034"/>
      <c r="O672" s="3034"/>
      <c r="P672" s="3034"/>
      <c r="Q672" s="3034"/>
      <c r="R672" s="3034"/>
      <c r="S672" s="3034"/>
      <c r="T672" s="3034"/>
      <c r="U672" s="3034"/>
      <c r="V672" s="3034"/>
      <c r="W672" s="3034"/>
      <c r="X672" s="3034"/>
      <c r="Y672" s="3034"/>
      <c r="Z672" s="3034"/>
      <c r="AA672" s="3034"/>
      <c r="AB672" s="3034"/>
      <c r="AC672" s="3034"/>
      <c r="AD672" s="3034"/>
      <c r="AE672" s="3034"/>
      <c r="AF672" s="3138" t="s">
        <v>1748</v>
      </c>
      <c r="AG672" s="3138"/>
      <c r="AH672" s="3138"/>
      <c r="AI672" s="3138"/>
      <c r="AJ672" s="3138"/>
      <c r="AK672" s="3138"/>
      <c r="AL672" s="3139"/>
      <c r="AM672" s="1133"/>
      <c r="AN672" s="1239"/>
      <c r="AO672" s="1240">
        <v>0.12</v>
      </c>
      <c r="AP672" s="1067">
        <v>5</v>
      </c>
      <c r="AR672" s="942" t="s">
        <v>1792</v>
      </c>
      <c r="AS672" s="1067">
        <v>5</v>
      </c>
      <c r="AT672" s="1238"/>
      <c r="AW672" s="1240">
        <v>0.6</v>
      </c>
      <c r="AX672" s="1238">
        <v>4</v>
      </c>
      <c r="BA672" s="1240">
        <v>0.6</v>
      </c>
      <c r="BB672" s="1238">
        <v>5</v>
      </c>
    </row>
    <row r="673" spans="1:54" s="942" customFormat="1" ht="12.75" customHeight="1">
      <c r="A673" s="926"/>
      <c r="B673" s="51"/>
      <c r="C673" s="1191"/>
      <c r="D673" s="112"/>
      <c r="E673" s="1145"/>
      <c r="F673" s="3035"/>
      <c r="G673" s="3035"/>
      <c r="H673" s="3035"/>
      <c r="I673" s="3035"/>
      <c r="J673" s="3035"/>
      <c r="K673" s="3035"/>
      <c r="L673" s="3035"/>
      <c r="M673" s="3035"/>
      <c r="N673" s="3035"/>
      <c r="O673" s="3035"/>
      <c r="P673" s="3035"/>
      <c r="Q673" s="3035"/>
      <c r="R673" s="3035"/>
      <c r="S673" s="3035"/>
      <c r="T673" s="3035"/>
      <c r="U673" s="3035"/>
      <c r="V673" s="3035"/>
      <c r="W673" s="3035"/>
      <c r="X673" s="3035"/>
      <c r="Y673" s="3035"/>
      <c r="Z673" s="3035"/>
      <c r="AA673" s="3035"/>
      <c r="AB673" s="3035"/>
      <c r="AC673" s="3035"/>
      <c r="AD673" s="3035"/>
      <c r="AE673" s="3035"/>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5"/>
      <c r="G674" s="3035"/>
      <c r="H674" s="3035"/>
      <c r="I674" s="3035"/>
      <c r="J674" s="3035"/>
      <c r="K674" s="3035"/>
      <c r="L674" s="3035"/>
      <c r="M674" s="3035"/>
      <c r="N674" s="3035"/>
      <c r="O674" s="3035"/>
      <c r="P674" s="3035"/>
      <c r="Q674" s="3035"/>
      <c r="R674" s="3035"/>
      <c r="S674" s="3035"/>
      <c r="T674" s="3035"/>
      <c r="U674" s="3035"/>
      <c r="V674" s="3035"/>
      <c r="W674" s="3035"/>
      <c r="X674" s="3035"/>
      <c r="Y674" s="3035"/>
      <c r="Z674" s="3035"/>
      <c r="AA674" s="3035"/>
      <c r="AB674" s="3035"/>
      <c r="AC674" s="3035"/>
      <c r="AD674" s="3035"/>
      <c r="AE674" s="3035"/>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1793</v>
      </c>
      <c r="F677" s="3140" t="s">
        <v>1794</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7"/>
      <c r="AH677" s="1172"/>
      <c r="AI677" s="1172"/>
      <c r="AJ677" s="1172"/>
      <c r="AK677" s="1172"/>
      <c r="AL677" s="1208"/>
      <c r="AM677" s="1133"/>
      <c r="AN677" s="999"/>
    </row>
    <row r="678" spans="1:54" s="942" customFormat="1" ht="12.75" customHeight="1">
      <c r="A678" s="926"/>
      <c r="B678" s="51"/>
      <c r="C678" s="1191"/>
      <c r="D678" s="112"/>
      <c r="E678" s="1145"/>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4"/>
      <c r="AH678" s="1024"/>
      <c r="AI678" s="1024"/>
      <c r="AJ678" s="1024"/>
      <c r="AK678" s="1024"/>
      <c r="AL678" s="1192"/>
      <c r="AM678" s="1133"/>
      <c r="AN678" s="999"/>
    </row>
    <row r="679" spans="1:54" s="942" customFormat="1" ht="12.75" customHeight="1">
      <c r="A679" s="926"/>
      <c r="B679" s="51"/>
      <c r="C679" s="1200"/>
      <c r="D679" s="1024"/>
      <c r="E679" s="1024"/>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4"/>
      <c r="AH679" s="1024"/>
      <c r="AI679" s="1024"/>
      <c r="AJ679" s="1024"/>
      <c r="AK679" s="1024"/>
      <c r="AL679" s="1192"/>
      <c r="AM679" s="1133"/>
      <c r="AN679" s="999"/>
    </row>
    <row r="680" spans="1:54" s="942" customFormat="1" ht="12.75" customHeight="1">
      <c r="A680" s="926"/>
      <c r="B680" s="51"/>
      <c r="C680" s="1200"/>
      <c r="D680" s="1024"/>
      <c r="E680" s="1024"/>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4"/>
      <c r="AH680" s="1024"/>
      <c r="AI680" s="1024"/>
      <c r="AJ680" s="1024"/>
      <c r="AK680" s="1024"/>
      <c r="AL680" s="1192"/>
      <c r="AM680" s="1133"/>
      <c r="AN680" s="999"/>
    </row>
    <row r="681" spans="1:54" s="942" customFormat="1" ht="12.75" customHeight="1">
      <c r="A681" s="926"/>
      <c r="B681" s="51"/>
      <c r="C681" s="3043" t="s">
        <v>625</v>
      </c>
      <c r="D681" s="3044"/>
      <c r="E681" s="1177"/>
      <c r="F681" s="1213" t="s">
        <v>1765</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5" t="s">
        <v>1748</v>
      </c>
      <c r="AG681" s="3045"/>
      <c r="AH681" s="3045"/>
      <c r="AI681" s="3045"/>
      <c r="AJ681" s="3045"/>
      <c r="AK681" s="3045"/>
      <c r="AL681" s="3046"/>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1795</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1796</v>
      </c>
      <c r="AK684" s="3030">
        <f>IF(Application!D213="N/A",AS573,AS575)</f>
        <v>10</v>
      </c>
      <c r="AL684" s="3031"/>
      <c r="AM684" s="3032"/>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1797</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3" t="s">
        <v>1798</v>
      </c>
      <c r="AF687" s="3033"/>
      <c r="AG687" s="3033"/>
      <c r="AH687" s="3033"/>
      <c r="AI687" s="3033"/>
      <c r="AJ687" s="3033"/>
      <c r="AK687" s="3033"/>
      <c r="AL687" s="1788"/>
      <c r="AM687" s="1025"/>
      <c r="AN687" s="999"/>
      <c r="AO687" s="942" t="s">
        <v>1776</v>
      </c>
      <c r="AP687" s="942">
        <v>5</v>
      </c>
      <c r="AQ687" s="1024"/>
      <c r="AR687" s="1024"/>
      <c r="AS687" s="1024"/>
      <c r="AT687" s="1024"/>
      <c r="AU687" s="1024"/>
      <c r="AV687" s="1024"/>
      <c r="AW687" s="1024"/>
    </row>
    <row r="688" spans="1:54" s="942" customFormat="1" ht="12.75" hidden="1" customHeight="1">
      <c r="A688" s="1011"/>
      <c r="B688" s="1005" t="s">
        <v>1799</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1800</v>
      </c>
      <c r="AP688" s="942">
        <v>5</v>
      </c>
      <c r="AQ688" s="1024"/>
      <c r="AR688" s="1024"/>
      <c r="AS688" s="1024"/>
      <c r="AT688" s="1024"/>
      <c r="AU688" s="1024"/>
      <c r="AV688" s="1024"/>
      <c r="AW688" s="1024"/>
    </row>
    <row r="689" spans="1:50" s="942" customFormat="1" ht="12.75" hidden="1" customHeight="1">
      <c r="A689" s="1011"/>
      <c r="B689" s="985" t="s">
        <v>1801</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1778</v>
      </c>
      <c r="AP689" s="942">
        <v>5</v>
      </c>
      <c r="AQ689" s="1178"/>
      <c r="AR689" s="1178"/>
      <c r="AS689" s="1234"/>
      <c r="AW689" s="1234"/>
    </row>
    <row r="690" spans="1:50" s="942" customFormat="1" ht="12.75" hidden="1" customHeight="1">
      <c r="A690" s="1011"/>
      <c r="B690" s="985" t="s">
        <v>1802</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1780</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1781</v>
      </c>
      <c r="AP691" s="942">
        <v>5</v>
      </c>
      <c r="AQ691" s="1178"/>
      <c r="AR691" s="1178"/>
      <c r="AW691" s="1245"/>
    </row>
    <row r="692" spans="1:50" s="942" customFormat="1" ht="12.75" hidden="1" customHeight="1">
      <c r="A692" s="1011"/>
      <c r="B692" s="1025"/>
      <c r="C692" s="1246" t="s">
        <v>1803</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1782</v>
      </c>
      <c r="AP692" s="942">
        <v>5</v>
      </c>
      <c r="AW692" s="1245"/>
    </row>
    <row r="693" spans="1:50" s="942" customFormat="1" ht="12.75" hidden="1" customHeight="1">
      <c r="A693" s="1011"/>
      <c r="C693" s="3119" t="s">
        <v>625</v>
      </c>
      <c r="D693" s="3120"/>
      <c r="E693" s="1247" t="s">
        <v>539</v>
      </c>
      <c r="F693" s="3128" t="s">
        <v>1804</v>
      </c>
      <c r="G693" s="3128"/>
      <c r="H693" s="3128"/>
      <c r="I693" s="3128"/>
      <c r="J693" s="3128"/>
      <c r="K693" s="3128"/>
      <c r="L693" s="3128"/>
      <c r="M693" s="3128"/>
      <c r="N693" s="3128"/>
      <c r="O693" s="3128"/>
      <c r="P693" s="3128"/>
      <c r="Q693" s="3128"/>
      <c r="R693" s="3128"/>
      <c r="S693" s="3128"/>
      <c r="T693" s="3128"/>
      <c r="U693" s="3128"/>
      <c r="V693" s="3128"/>
      <c r="W693" s="3128"/>
      <c r="X693" s="3128"/>
      <c r="Y693" s="3128"/>
      <c r="Z693" s="3128"/>
      <c r="AA693" s="3128"/>
      <c r="AB693" s="3128"/>
      <c r="AC693" s="3128"/>
      <c r="AD693" s="3128"/>
      <c r="AE693" s="3128"/>
      <c r="AF693" s="1172"/>
      <c r="AG693" s="1172"/>
      <c r="AH693" s="1172"/>
      <c r="AI693" s="1172"/>
      <c r="AJ693" s="1172"/>
      <c r="AK693" s="1208"/>
      <c r="AL693" s="1024"/>
      <c r="AN693" s="999"/>
      <c r="AO693" s="942" t="s">
        <v>1805</v>
      </c>
      <c r="AP693" s="942">
        <v>5</v>
      </c>
      <c r="AS693" s="1240"/>
      <c r="AT693" s="1238"/>
      <c r="AW693" s="1245"/>
      <c r="AX693" s="1067"/>
    </row>
    <row r="694" spans="1:50" s="942" customFormat="1" ht="12.75" hidden="1" customHeight="1">
      <c r="A694" s="1059"/>
      <c r="C694" s="1248"/>
      <c r="D694" s="1024"/>
      <c r="E694" s="1249"/>
      <c r="F694" s="3129"/>
      <c r="G694" s="3129"/>
      <c r="H694" s="3129"/>
      <c r="I694" s="3129"/>
      <c r="J694" s="3129"/>
      <c r="K694" s="3129"/>
      <c r="L694" s="3129"/>
      <c r="M694" s="3129"/>
      <c r="N694" s="3129"/>
      <c r="O694" s="3129"/>
      <c r="P694" s="3129"/>
      <c r="Q694" s="3129"/>
      <c r="R694" s="3129"/>
      <c r="S694" s="3129"/>
      <c r="T694" s="3129"/>
      <c r="U694" s="3129"/>
      <c r="V694" s="3129"/>
      <c r="W694" s="3129"/>
      <c r="X694" s="3129"/>
      <c r="Y694" s="3129"/>
      <c r="Z694" s="3129"/>
      <c r="AA694" s="3129"/>
      <c r="AB694" s="3129"/>
      <c r="AC694" s="3129"/>
      <c r="AD694" s="3129"/>
      <c r="AE694" s="3129"/>
      <c r="AF694" s="1024"/>
      <c r="AG694" s="943"/>
      <c r="AH694" s="943"/>
      <c r="AI694" s="943"/>
      <c r="AJ694" s="943"/>
      <c r="AK694" s="1192"/>
      <c r="AL694" s="1024"/>
      <c r="AN694" s="999"/>
      <c r="AO694" s="942" t="s">
        <v>1786</v>
      </c>
      <c r="AP694" s="942">
        <v>1</v>
      </c>
    </row>
    <row r="695" spans="1:50" s="942" customFormat="1" ht="12.75" hidden="1" customHeight="1">
      <c r="A695" s="1059"/>
      <c r="C695" s="1250"/>
      <c r="D695" s="1187"/>
      <c r="E695" s="1251"/>
      <c r="F695" s="3134" t="s">
        <v>625</v>
      </c>
      <c r="G695" s="3134"/>
      <c r="H695" s="3134"/>
      <c r="I695" s="3134"/>
      <c r="J695" s="3134"/>
      <c r="K695" s="3134"/>
      <c r="L695" s="3134"/>
      <c r="M695" s="3134"/>
      <c r="N695" s="3134"/>
      <c r="O695" s="3134"/>
      <c r="P695" s="3134"/>
      <c r="Q695" s="3134"/>
      <c r="R695" s="3134"/>
      <c r="S695" s="3134"/>
      <c r="T695" s="3134"/>
      <c r="U695" s="3134"/>
      <c r="V695" s="3134"/>
      <c r="W695" s="3134"/>
      <c r="X695" s="3134"/>
      <c r="Y695" s="3134"/>
      <c r="Z695" s="3134"/>
      <c r="AA695" s="1252"/>
      <c r="AB695" s="1099"/>
      <c r="AC695" s="1099"/>
      <c r="AD695" s="1187"/>
      <c r="AE695" s="1187"/>
      <c r="AF695" s="1187"/>
      <c r="AG695" s="1253">
        <f>IF($C$693="Yes",(VLOOKUP($F$695,$AO$660:$AP$668,2,FALSE)),0)</f>
        <v>0</v>
      </c>
      <c r="AH695" s="1254" t="s">
        <v>1596</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35" t="s">
        <v>577</v>
      </c>
      <c r="D697" s="3136"/>
      <c r="E697" s="1247" t="s">
        <v>797</v>
      </c>
      <c r="F697" s="1256" t="s">
        <v>1806</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1807</v>
      </c>
      <c r="D698" s="1024"/>
      <c r="E698" s="1024"/>
      <c r="F698" s="1258" t="s">
        <v>1808</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1809</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1810</v>
      </c>
      <c r="G700" s="1024"/>
      <c r="H700" s="1024"/>
      <c r="I700" s="1258"/>
      <c r="J700" s="1258"/>
      <c r="K700" s="1258"/>
      <c r="L700" s="1258"/>
      <c r="M700" s="1258"/>
      <c r="N700" s="1258"/>
      <c r="O700" s="1258"/>
      <c r="P700" s="1258"/>
      <c r="Q700" s="1258"/>
      <c r="R700" s="1258"/>
      <c r="S700" s="1258"/>
      <c r="T700" s="1258"/>
      <c r="U700" s="1258"/>
      <c r="V700" s="3038" t="s">
        <v>625</v>
      </c>
      <c r="W700" s="3038"/>
      <c r="X700" s="3038"/>
      <c r="Y700" s="1258"/>
      <c r="Z700" s="1258"/>
      <c r="AA700" s="1258"/>
      <c r="AB700" s="1258"/>
      <c r="AC700" s="1258"/>
      <c r="AD700" s="1261"/>
      <c r="AE700" s="1261"/>
      <c r="AF700" s="1261"/>
      <c r="AG700" s="1030">
        <f>IF(AND($C$697="Yes",$V$702="N/A",$V$707="N/A",$V$711="N/A",$V$713="N/A"),(VLOOKUP(V700,$AR$670:$AS$672,2,FALSE)),0)</f>
        <v>0</v>
      </c>
      <c r="AH700" s="1796" t="s">
        <v>1596</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1811</v>
      </c>
      <c r="G702" s="1024"/>
      <c r="H702" s="1024"/>
      <c r="I702" s="1258"/>
      <c r="J702" s="1258"/>
      <c r="K702" s="1258"/>
      <c r="L702" s="1258"/>
      <c r="M702" s="1258"/>
      <c r="N702" s="1258"/>
      <c r="O702" s="1258"/>
      <c r="P702" s="1258"/>
      <c r="Q702" s="1258"/>
      <c r="R702" s="1258"/>
      <c r="S702" s="1258"/>
      <c r="T702" s="1258"/>
      <c r="U702" s="1258"/>
      <c r="V702" s="3038" t="s">
        <v>625</v>
      </c>
      <c r="W702" s="3038"/>
      <c r="X702" s="3038"/>
      <c r="Y702" s="1258"/>
      <c r="Z702" s="1258"/>
      <c r="AA702" s="1258"/>
      <c r="AB702" s="1258"/>
      <c r="AC702" s="1258"/>
      <c r="AD702" s="1261"/>
      <c r="AE702" s="1261"/>
      <c r="AF702" s="1261"/>
      <c r="AG702" s="1030">
        <f>IF(AND($C$697="Yes",$V$700="N/A", $V$707="N/A",$V$711="N/A",$V$713="N/A"),(VLOOKUP(V702,$AO$670:$AP$672,2,FALSE)),0)</f>
        <v>0</v>
      </c>
      <c r="AH702" s="1796" t="s">
        <v>1596</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1812</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1813</v>
      </c>
      <c r="AP704" s="1067">
        <v>2</v>
      </c>
    </row>
    <row r="705" spans="1:81" s="942" customFormat="1" ht="12.75" hidden="1" customHeight="1">
      <c r="A705" s="1059"/>
      <c r="C705" s="1248"/>
      <c r="D705" s="1059"/>
      <c r="E705" s="1059"/>
      <c r="F705" s="1261" t="s">
        <v>1814</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1815</v>
      </c>
      <c r="AP705" s="942">
        <v>2</v>
      </c>
    </row>
    <row r="706" spans="1:81" s="992" customFormat="1" ht="12.75" hidden="1" customHeight="1">
      <c r="A706" s="1059"/>
      <c r="B706" s="942"/>
      <c r="C706" s="1200"/>
      <c r="D706" s="1255"/>
      <c r="E706" s="1255"/>
      <c r="F706" s="1261" t="s">
        <v>1816</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1817</v>
      </c>
      <c r="AP706" s="942">
        <v>2</v>
      </c>
    </row>
    <row r="707" spans="1:81" s="942" customFormat="1" ht="12.75" hidden="1" customHeight="1">
      <c r="A707" s="1059"/>
      <c r="C707" s="1265"/>
      <c r="D707" s="1059"/>
      <c r="E707" s="1059"/>
      <c r="F707" s="1263" t="s">
        <v>1818</v>
      </c>
      <c r="G707" s="1059"/>
      <c r="H707" s="1059"/>
      <c r="I707" s="1059"/>
      <c r="J707" s="1059"/>
      <c r="K707" s="1059"/>
      <c r="L707" s="1059"/>
      <c r="M707" s="1249"/>
      <c r="N707" s="1249"/>
      <c r="O707" s="1249"/>
      <c r="P707" s="1249"/>
      <c r="Q707" s="943"/>
      <c r="R707" s="943"/>
      <c r="S707" s="943"/>
      <c r="T707" s="943"/>
      <c r="U707" s="943"/>
      <c r="V707" s="3038" t="s">
        <v>625</v>
      </c>
      <c r="W707" s="3038"/>
      <c r="X707" s="3038"/>
      <c r="Y707" s="943"/>
      <c r="Z707" s="943"/>
      <c r="AA707" s="943"/>
      <c r="AB707" s="943"/>
      <c r="AC707" s="943"/>
      <c r="AD707" s="1024"/>
      <c r="AE707" s="1024"/>
      <c r="AF707" s="1024"/>
      <c r="AG707" s="1030">
        <f>IF(AND($C$697="Yes",$V$700="N/A",$V$702="N/A", $V$711="N/A",$V$713="N/A"),(VLOOKUP($V$707,$AO$674:$AP$676,2,FALSE)),0)</f>
        <v>0</v>
      </c>
      <c r="AH707" s="1796" t="s">
        <v>1596</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1819</v>
      </c>
      <c r="D709" s="1268"/>
      <c r="E709" s="1268"/>
      <c r="F709" s="1269" t="s">
        <v>1820</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22"/>
      <c r="E710" s="3122"/>
      <c r="F710" s="1258" t="s">
        <v>1821</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1822</v>
      </c>
      <c r="AP710" s="1067">
        <v>5</v>
      </c>
      <c r="AQ710" s="931"/>
    </row>
    <row r="711" spans="1:81" s="1133" customFormat="1" ht="12.75" hidden="1" customHeight="1">
      <c r="A711" s="1794"/>
      <c r="B711" s="1025"/>
      <c r="C711" s="1248"/>
      <c r="D711" s="1024"/>
      <c r="E711" s="1024"/>
      <c r="F711" s="1271" t="s">
        <v>1810</v>
      </c>
      <c r="G711" s="1024"/>
      <c r="H711" s="1024"/>
      <c r="I711" s="1024"/>
      <c r="J711" s="1024"/>
      <c r="K711" s="1024"/>
      <c r="L711" s="1024"/>
      <c r="M711" s="1024"/>
      <c r="N711" s="1024"/>
      <c r="O711" s="1024"/>
      <c r="P711" s="1024"/>
      <c r="Q711" s="1024"/>
      <c r="R711" s="1024"/>
      <c r="S711" s="1024"/>
      <c r="T711" s="1024"/>
      <c r="U711" s="1024"/>
      <c r="V711" s="3038" t="s">
        <v>625</v>
      </c>
      <c r="W711" s="3038"/>
      <c r="X711" s="3038"/>
      <c r="Y711" s="1024"/>
      <c r="Z711" s="1024"/>
      <c r="AA711" s="1024"/>
      <c r="AB711" s="1024"/>
      <c r="AC711" s="1024"/>
      <c r="AD711" s="1024"/>
      <c r="AE711" s="1024"/>
      <c r="AF711" s="1024"/>
      <c r="AG711" s="1030">
        <f>IF(AND($C$697="Yes",$V$700="N/A",V702="N/A",$V$707="N/A",$V$713="N/A"),(VLOOKUP($V$711,$AW$670:$AX$673,2,FALSE)),0)</f>
        <v>0</v>
      </c>
      <c r="AH711" s="1796" t="s">
        <v>1596</v>
      </c>
      <c r="AI711" s="943"/>
      <c r="AJ711" s="1024"/>
      <c r="AK711" s="1192"/>
      <c r="AL711" s="1024"/>
      <c r="AM711" s="942"/>
      <c r="AN711" s="1132"/>
      <c r="AO711" s="942" t="s">
        <v>1823</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1824</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1811</v>
      </c>
      <c r="G713" s="1272"/>
      <c r="H713" s="1272"/>
      <c r="I713" s="1187"/>
      <c r="J713" s="1187"/>
      <c r="K713" s="1187"/>
      <c r="L713" s="1187"/>
      <c r="M713" s="1187"/>
      <c r="N713" s="1187"/>
      <c r="O713" s="1187"/>
      <c r="P713" s="1187"/>
      <c r="Q713" s="1187"/>
      <c r="R713" s="1187"/>
      <c r="S713" s="1187"/>
      <c r="T713" s="1187"/>
      <c r="U713" s="1187"/>
      <c r="V713" s="3038" t="s">
        <v>625</v>
      </c>
      <c r="W713" s="3038"/>
      <c r="X713" s="3038"/>
      <c r="Y713" s="1187"/>
      <c r="Z713" s="1187"/>
      <c r="AA713" s="1187"/>
      <c r="AB713" s="1187"/>
      <c r="AC713" s="1187"/>
      <c r="AD713" s="1187"/>
      <c r="AE713" s="1187"/>
      <c r="AF713" s="1187"/>
      <c r="AG713" s="1273">
        <f>IF(AND($C$697="Yes",$V$700="N/A",$V$702="N/A",$V$707="N/A",$V$711="N/A"),(VLOOKUP($V$713,$BA$670:$BB$672,2,FALSE)),0)</f>
        <v>0</v>
      </c>
      <c r="AH713" s="1254" t="s">
        <v>1596</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1825</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19" t="s">
        <v>625</v>
      </c>
      <c r="D716" s="3120"/>
      <c r="E716" s="1247" t="s">
        <v>539</v>
      </c>
      <c r="F716" s="3128" t="s">
        <v>1804</v>
      </c>
      <c r="G716" s="3128"/>
      <c r="H716" s="3128"/>
      <c r="I716" s="3128"/>
      <c r="J716" s="3128"/>
      <c r="K716" s="3128"/>
      <c r="L716" s="3128"/>
      <c r="M716" s="3128"/>
      <c r="N716" s="3128"/>
      <c r="O716" s="3128"/>
      <c r="P716" s="3128"/>
      <c r="Q716" s="3128"/>
      <c r="R716" s="3128"/>
      <c r="S716" s="3128"/>
      <c r="T716" s="3128"/>
      <c r="U716" s="3128"/>
      <c r="V716" s="3128"/>
      <c r="W716" s="3128"/>
      <c r="X716" s="3128"/>
      <c r="Y716" s="3128"/>
      <c r="Z716" s="3128"/>
      <c r="AA716" s="3128"/>
      <c r="AB716" s="3128"/>
      <c r="AC716" s="3128"/>
      <c r="AD716" s="3128"/>
      <c r="AE716" s="3128"/>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29"/>
      <c r="G717" s="3129"/>
      <c r="H717" s="3129"/>
      <c r="I717" s="3129"/>
      <c r="J717" s="3129"/>
      <c r="K717" s="3129"/>
      <c r="L717" s="3129"/>
      <c r="M717" s="3129"/>
      <c r="N717" s="3129"/>
      <c r="O717" s="3129"/>
      <c r="P717" s="3129"/>
      <c r="Q717" s="3129"/>
      <c r="R717" s="3129"/>
      <c r="S717" s="3129"/>
      <c r="T717" s="3129"/>
      <c r="U717" s="3129"/>
      <c r="V717" s="3129"/>
      <c r="W717" s="3129"/>
      <c r="X717" s="3129"/>
      <c r="Y717" s="3129"/>
      <c r="Z717" s="3129"/>
      <c r="AA717" s="3129"/>
      <c r="AB717" s="3129"/>
      <c r="AC717" s="3129"/>
      <c r="AD717" s="3129"/>
      <c r="AE717" s="3129"/>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30" t="s">
        <v>625</v>
      </c>
      <c r="G718" s="3130"/>
      <c r="H718" s="3130"/>
      <c r="I718" s="3130"/>
      <c r="J718" s="3130"/>
      <c r="K718" s="3130"/>
      <c r="L718" s="3130"/>
      <c r="M718" s="3130"/>
      <c r="N718" s="3130"/>
      <c r="O718" s="3130"/>
      <c r="P718" s="3130"/>
      <c r="Q718" s="3130"/>
      <c r="R718" s="3130"/>
      <c r="S718" s="3130"/>
      <c r="T718" s="3130"/>
      <c r="U718" s="3130"/>
      <c r="V718" s="3130"/>
      <c r="W718" s="3130"/>
      <c r="X718" s="3130"/>
      <c r="Y718" s="3130"/>
      <c r="Z718" s="3130"/>
      <c r="AA718" s="1252"/>
      <c r="AB718" s="1099"/>
      <c r="AC718" s="1099"/>
      <c r="AD718" s="1187"/>
      <c r="AE718" s="1187"/>
      <c r="AF718" s="1187"/>
      <c r="AG718" s="1253">
        <f>IF($C$716="Yes",(VLOOKUP($F$718,$AO$686:$AP$694,2,FALSE)),0)</f>
        <v>0</v>
      </c>
      <c r="AH718" s="1254" t="s">
        <v>1596</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9" t="s">
        <v>625</v>
      </c>
      <c r="D720" s="3120"/>
      <c r="E720" s="1247" t="s">
        <v>797</v>
      </c>
      <c r="F720" s="3131" t="s">
        <v>1826</v>
      </c>
      <c r="G720" s="3131"/>
      <c r="H720" s="3131"/>
      <c r="I720" s="3131"/>
      <c r="J720" s="3131"/>
      <c r="K720" s="3131"/>
      <c r="L720" s="3131"/>
      <c r="M720" s="3131"/>
      <c r="N720" s="3131"/>
      <c r="O720" s="3131"/>
      <c r="P720" s="3131"/>
      <c r="Q720" s="3131"/>
      <c r="R720" s="3131"/>
      <c r="S720" s="3131"/>
      <c r="T720" s="3131"/>
      <c r="U720" s="3131"/>
      <c r="V720" s="3131"/>
      <c r="W720" s="3131"/>
      <c r="X720" s="3131"/>
      <c r="Y720" s="3131"/>
      <c r="Z720" s="3131"/>
      <c r="AA720" s="3131"/>
      <c r="AB720" s="3131"/>
      <c r="AC720" s="3131"/>
      <c r="AD720" s="3131"/>
      <c r="AE720" s="3131"/>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2"/>
      <c r="G721" s="3132"/>
      <c r="H721" s="3132"/>
      <c r="I721" s="3132"/>
      <c r="J721" s="3132"/>
      <c r="K721" s="3132"/>
      <c r="L721" s="3132"/>
      <c r="M721" s="3132"/>
      <c r="N721" s="3132"/>
      <c r="O721" s="3132"/>
      <c r="P721" s="3132"/>
      <c r="Q721" s="3132"/>
      <c r="R721" s="3132"/>
      <c r="S721" s="3132"/>
      <c r="T721" s="3132"/>
      <c r="U721" s="3132"/>
      <c r="V721" s="3132"/>
      <c r="W721" s="3132"/>
      <c r="X721" s="3132"/>
      <c r="Y721" s="3132"/>
      <c r="Z721" s="3132"/>
      <c r="AA721" s="3132"/>
      <c r="AB721" s="3132"/>
      <c r="AC721" s="3132"/>
      <c r="AD721" s="3132"/>
      <c r="AE721" s="3132"/>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1827</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3" t="s">
        <v>625</v>
      </c>
      <c r="G723" s="3133"/>
      <c r="H723" s="3133"/>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1596</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19" t="s">
        <v>625</v>
      </c>
      <c r="D725" s="3120"/>
      <c r="E725" s="1247" t="s">
        <v>1828</v>
      </c>
      <c r="F725" s="1269" t="s">
        <v>1829</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1"/>
      <c r="D727" s="3122"/>
      <c r="E727" s="1259"/>
      <c r="F727" s="943" t="s">
        <v>1830</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1596</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23" t="s">
        <v>625</v>
      </c>
      <c r="H728" s="3123"/>
      <c r="I728" s="3123"/>
      <c r="J728" s="3123"/>
      <c r="K728" s="3123"/>
      <c r="L728" s="3123"/>
      <c r="M728" s="3123"/>
      <c r="N728" s="3123"/>
      <c r="O728" s="3123"/>
      <c r="P728" s="3123"/>
      <c r="Q728" s="3123"/>
      <c r="R728" s="3123"/>
      <c r="S728" s="3123"/>
      <c r="T728" s="3123"/>
      <c r="U728" s="3123"/>
      <c r="V728" s="3123"/>
      <c r="W728" s="3123"/>
      <c r="X728" s="3123"/>
      <c r="Y728" s="3123"/>
      <c r="Z728" s="3123"/>
      <c r="AA728" s="3123"/>
      <c r="AB728" s="3123"/>
      <c r="AC728" s="3123"/>
      <c r="AD728" s="3123"/>
      <c r="AE728" s="3123"/>
      <c r="AF728" s="3123"/>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4" t="s">
        <v>625</v>
      </c>
      <c r="D730" s="3125"/>
      <c r="E730" s="963"/>
      <c r="F730" s="943" t="s">
        <v>1831</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1596</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1832</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1833</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4" t="s">
        <v>625</v>
      </c>
      <c r="D734" s="3125"/>
      <c r="E734" s="1024"/>
      <c r="F734" s="1289" t="s">
        <v>1834</v>
      </c>
      <c r="G734" s="3126" t="s">
        <v>1835</v>
      </c>
      <c r="H734" s="3126"/>
      <c r="I734" s="3126"/>
      <c r="J734" s="3126"/>
      <c r="K734" s="3126"/>
      <c r="L734" s="3126"/>
      <c r="M734" s="3126"/>
      <c r="N734" s="3126"/>
      <c r="O734" s="3126"/>
      <c r="P734" s="3126"/>
      <c r="Q734" s="3126"/>
      <c r="R734" s="3126"/>
      <c r="S734" s="3126"/>
      <c r="T734" s="3126"/>
      <c r="U734" s="3126"/>
      <c r="V734" s="3126"/>
      <c r="W734" s="3126"/>
      <c r="X734" s="3126"/>
      <c r="Y734" s="3126"/>
      <c r="Z734" s="3126"/>
      <c r="AA734" s="3126"/>
      <c r="AB734" s="3126"/>
      <c r="AC734" s="3126"/>
      <c r="AD734" s="3126"/>
      <c r="AE734" s="3126"/>
      <c r="AF734" s="3126"/>
      <c r="AG734" s="1030">
        <f>IF(AND($C$734="Yes",$C$725="Yes"),2,0)</f>
        <v>0</v>
      </c>
      <c r="AH734" s="1796" t="s">
        <v>1596</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27"/>
      <c r="H735" s="3127"/>
      <c r="I735" s="3127"/>
      <c r="J735" s="3127"/>
      <c r="K735" s="3127"/>
      <c r="L735" s="3127"/>
      <c r="M735" s="3127"/>
      <c r="N735" s="3127"/>
      <c r="O735" s="3127"/>
      <c r="P735" s="3127"/>
      <c r="Q735" s="3127"/>
      <c r="R735" s="3127"/>
      <c r="S735" s="3127"/>
      <c r="T735" s="3127"/>
      <c r="U735" s="3127"/>
      <c r="V735" s="3127"/>
      <c r="W735" s="3127"/>
      <c r="X735" s="3127"/>
      <c r="Y735" s="3127"/>
      <c r="Z735" s="3127"/>
      <c r="AA735" s="3127"/>
      <c r="AB735" s="3127"/>
      <c r="AC735" s="3127"/>
      <c r="AD735" s="3127"/>
      <c r="AE735" s="3127"/>
      <c r="AF735" s="3127"/>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1836</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8" t="s">
        <v>625</v>
      </c>
      <c r="D738" s="3109"/>
      <c r="E738" s="1298" t="s">
        <v>1837</v>
      </c>
      <c r="F738" s="1258"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1596</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0" t="s">
        <v>625</v>
      </c>
      <c r="G739" s="3110"/>
      <c r="H739" s="3110"/>
      <c r="I739" s="3110"/>
      <c r="J739" s="3110"/>
      <c r="K739" s="3110"/>
      <c r="L739" s="3110"/>
      <c r="M739" s="3110"/>
      <c r="N739" s="3110"/>
      <c r="O739" s="3110"/>
      <c r="P739" s="3110"/>
      <c r="Q739" s="3110"/>
      <c r="R739" s="3110"/>
      <c r="S739" s="3110"/>
      <c r="T739" s="3110"/>
      <c r="U739" s="3110"/>
      <c r="V739" s="3110"/>
      <c r="W739" s="3110"/>
      <c r="X739" s="3110"/>
      <c r="Y739" s="3110"/>
      <c r="Z739" s="3110"/>
      <c r="AA739" s="3110"/>
      <c r="AB739" s="3110"/>
      <c r="AC739" s="3110"/>
      <c r="AD739" s="3110"/>
      <c r="AE739" s="3110"/>
      <c r="AF739" s="3110"/>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1"/>
      <c r="G740" s="3111"/>
      <c r="H740" s="3111"/>
      <c r="I740" s="3111"/>
      <c r="J740" s="3111"/>
      <c r="K740" s="3111"/>
      <c r="L740" s="3111"/>
      <c r="M740" s="3111"/>
      <c r="N740" s="3111"/>
      <c r="O740" s="3111"/>
      <c r="P740" s="3111"/>
      <c r="Q740" s="3111"/>
      <c r="R740" s="3111"/>
      <c r="S740" s="3111"/>
      <c r="T740" s="3111"/>
      <c r="U740" s="3111"/>
      <c r="V740" s="3111"/>
      <c r="W740" s="3111"/>
      <c r="X740" s="3111"/>
      <c r="Y740" s="3111"/>
      <c r="Z740" s="3111"/>
      <c r="AA740" s="3111"/>
      <c r="AB740" s="3111"/>
      <c r="AC740" s="3111"/>
      <c r="AD740" s="3111"/>
      <c r="AE740" s="3111"/>
      <c r="AF740" s="3111"/>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1839</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1840</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1841</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1842</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1843</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1844</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1845</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1846</v>
      </c>
      <c r="AK750" s="3030">
        <f>SUM(AG694:AG739)</f>
        <v>0</v>
      </c>
      <c r="AL750" s="3031"/>
      <c r="AM750" s="3032"/>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1847</v>
      </c>
      <c r="B753" s="1011" t="s">
        <v>1848</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2" t="s">
        <v>1849</v>
      </c>
      <c r="AF753" s="3112"/>
      <c r="AG753" s="3112"/>
      <c r="AH753" s="3112"/>
      <c r="AI753" s="3112"/>
      <c r="AJ753" s="3112"/>
      <c r="AK753" s="3112"/>
      <c r="AL753" s="1004"/>
      <c r="AM753" s="1004"/>
      <c r="AN753" s="999"/>
    </row>
    <row r="754" spans="1:49" s="942" customFormat="1" ht="12.75" customHeight="1">
      <c r="A754" s="1011"/>
      <c r="B754" s="1011" t="s">
        <v>1592</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4" t="s">
        <v>577</v>
      </c>
      <c r="D756" s="3044"/>
      <c r="E756" s="943"/>
      <c r="F756" s="3113" t="s">
        <v>1850</v>
      </c>
      <c r="G756" s="3114"/>
      <c r="H756" s="3114"/>
      <c r="I756" s="3114"/>
      <c r="J756" s="3114"/>
      <c r="K756" s="3114"/>
      <c r="L756" s="3114"/>
      <c r="M756" s="3114"/>
      <c r="N756" s="3114"/>
      <c r="O756" s="3114"/>
      <c r="P756" s="3114"/>
      <c r="Q756" s="3114"/>
      <c r="R756" s="3114"/>
      <c r="S756" s="3114"/>
      <c r="T756" s="3114"/>
      <c r="U756" s="3114"/>
      <c r="V756" s="3114"/>
      <c r="W756" s="3114"/>
      <c r="X756" s="3114"/>
      <c r="Y756" s="3114"/>
      <c r="Z756" s="3114"/>
      <c r="AA756" s="3114"/>
      <c r="AB756" s="3114"/>
      <c r="AC756" s="3114"/>
      <c r="AD756" s="3114"/>
      <c r="AE756" s="3114"/>
      <c r="AF756" s="3114"/>
      <c r="AG756" s="3114"/>
      <c r="AH756" s="3114"/>
      <c r="AI756" s="3114"/>
      <c r="AJ756" s="3114"/>
      <c r="AK756" s="3114"/>
      <c r="AL756" s="3115"/>
      <c r="AM756" s="1004"/>
      <c r="AN756" s="999"/>
    </row>
    <row r="757" spans="1:49" s="942" customFormat="1" ht="12.75" customHeight="1">
      <c r="A757" s="1011"/>
      <c r="B757" s="1011"/>
      <c r="C757" s="943"/>
      <c r="D757" s="943"/>
      <c r="E757" s="943"/>
      <c r="F757" s="3116"/>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3117"/>
      <c r="AF757" s="3117"/>
      <c r="AG757" s="3117"/>
      <c r="AH757" s="3117"/>
      <c r="AI757" s="3117"/>
      <c r="AJ757" s="3117"/>
      <c r="AK757" s="3117"/>
      <c r="AL757" s="3118"/>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4" t="s">
        <v>625</v>
      </c>
      <c r="D759" s="3044"/>
      <c r="E759" s="1304"/>
      <c r="F759" s="1305" t="s">
        <v>1851</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2" t="s">
        <v>1852</v>
      </c>
      <c r="G760" s="3023"/>
      <c r="H760" s="3023"/>
      <c r="I760" s="3023"/>
      <c r="J760" s="3023"/>
      <c r="K760" s="3023"/>
      <c r="L760" s="3023"/>
      <c r="M760" s="3023"/>
      <c r="N760" s="3023"/>
      <c r="O760" s="3023"/>
      <c r="P760" s="3023"/>
      <c r="Q760" s="3023"/>
      <c r="R760" s="3023"/>
      <c r="S760" s="3023"/>
      <c r="T760" s="3023"/>
      <c r="U760" s="3023"/>
      <c r="V760" s="3023"/>
      <c r="W760" s="3023"/>
      <c r="X760" s="3023"/>
      <c r="Y760" s="3023"/>
      <c r="Z760" s="3023"/>
      <c r="AA760" s="3023"/>
      <c r="AB760" s="3023"/>
      <c r="AC760" s="3023"/>
      <c r="AD760" s="3023"/>
      <c r="AE760" s="3023"/>
      <c r="AF760" s="3023"/>
      <c r="AG760" s="3023"/>
      <c r="AH760" s="3023"/>
      <c r="AI760" s="3023"/>
      <c r="AJ760" s="3023"/>
      <c r="AK760" s="3023"/>
      <c r="AL760" s="3024"/>
      <c r="AM760" s="1004"/>
      <c r="AN760" s="999"/>
      <c r="AS760" s="1482"/>
      <c r="AT760" s="1482"/>
      <c r="AU760" s="1482"/>
      <c r="AV760" s="1482"/>
      <c r="AW760" s="1482"/>
    </row>
    <row r="761" spans="1:49" s="942" customFormat="1" ht="12.75" customHeight="1">
      <c r="A761" s="1025"/>
      <c r="B761" s="1304"/>
      <c r="C761" s="1304"/>
      <c r="D761" s="1304"/>
      <c r="E761" s="1304"/>
      <c r="F761" s="3022"/>
      <c r="G761" s="3023"/>
      <c r="H761" s="3023"/>
      <c r="I761" s="3023"/>
      <c r="J761" s="3023"/>
      <c r="K761" s="3023"/>
      <c r="L761" s="3023"/>
      <c r="M761" s="3023"/>
      <c r="N761" s="3023"/>
      <c r="O761" s="3023"/>
      <c r="P761" s="3023"/>
      <c r="Q761" s="3023"/>
      <c r="R761" s="3023"/>
      <c r="S761" s="3023"/>
      <c r="T761" s="3023"/>
      <c r="U761" s="3023"/>
      <c r="V761" s="3023"/>
      <c r="W761" s="3023"/>
      <c r="X761" s="3023"/>
      <c r="Y761" s="3023"/>
      <c r="Z761" s="3023"/>
      <c r="AA761" s="3023"/>
      <c r="AB761" s="3023"/>
      <c r="AC761" s="3023"/>
      <c r="AD761" s="3023"/>
      <c r="AE761" s="3023"/>
      <c r="AF761" s="3023"/>
      <c r="AG761" s="3023"/>
      <c r="AH761" s="3023"/>
      <c r="AI761" s="3023"/>
      <c r="AJ761" s="3023"/>
      <c r="AK761" s="3023"/>
      <c r="AL761" s="3024"/>
      <c r="AM761" s="1004"/>
      <c r="AN761" s="999"/>
    </row>
    <row r="762" spans="1:49" s="942" customFormat="1" ht="12.75" customHeight="1">
      <c r="A762" s="1025"/>
      <c r="B762" s="1304"/>
      <c r="C762" s="1304"/>
      <c r="D762" s="1304"/>
      <c r="E762" s="1304"/>
      <c r="F762" s="1310" t="s">
        <v>1853</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2" t="s">
        <v>1854</v>
      </c>
      <c r="G763" s="3023"/>
      <c r="H763" s="3023"/>
      <c r="I763" s="3023"/>
      <c r="J763" s="3023"/>
      <c r="K763" s="3023"/>
      <c r="L763" s="3023"/>
      <c r="M763" s="3023"/>
      <c r="N763" s="3023"/>
      <c r="O763" s="3023"/>
      <c r="P763" s="3023"/>
      <c r="Q763" s="3023"/>
      <c r="R763" s="3023"/>
      <c r="S763" s="3023"/>
      <c r="T763" s="3023"/>
      <c r="U763" s="3023"/>
      <c r="V763" s="3023"/>
      <c r="W763" s="3023"/>
      <c r="X763" s="3023"/>
      <c r="Y763" s="3023"/>
      <c r="Z763" s="3023"/>
      <c r="AA763" s="3023"/>
      <c r="AB763" s="3023"/>
      <c r="AC763" s="3023"/>
      <c r="AD763" s="3023"/>
      <c r="AE763" s="3023"/>
      <c r="AF763" s="3023"/>
      <c r="AG763" s="3023"/>
      <c r="AH763" s="3023"/>
      <c r="AI763" s="3023"/>
      <c r="AJ763" s="3023"/>
      <c r="AK763" s="3023"/>
      <c r="AL763" s="1313"/>
      <c r="AM763" s="1004"/>
      <c r="AN763" s="999"/>
      <c r="AT763" s="1088"/>
      <c r="AU763" s="1088"/>
      <c r="AV763" s="1088"/>
    </row>
    <row r="764" spans="1:49" s="942" customFormat="1" ht="12.75" customHeight="1">
      <c r="A764" s="1025"/>
      <c r="B764" s="1304"/>
      <c r="C764" s="1304"/>
      <c r="D764" s="1304"/>
      <c r="E764" s="1304"/>
      <c r="F764" s="3025"/>
      <c r="G764" s="3026"/>
      <c r="H764" s="3026"/>
      <c r="I764" s="3026"/>
      <c r="J764" s="3026"/>
      <c r="K764" s="3026"/>
      <c r="L764" s="3026"/>
      <c r="M764" s="3026"/>
      <c r="N764" s="3026"/>
      <c r="O764" s="3026"/>
      <c r="P764" s="3026"/>
      <c r="Q764" s="3026"/>
      <c r="R764" s="3026"/>
      <c r="S764" s="3026"/>
      <c r="T764" s="3026"/>
      <c r="U764" s="3026"/>
      <c r="V764" s="3026"/>
      <c r="W764" s="3026"/>
      <c r="X764" s="3026"/>
      <c r="Y764" s="3026"/>
      <c r="Z764" s="3026"/>
      <c r="AA764" s="3026"/>
      <c r="AB764" s="3026"/>
      <c r="AC764" s="3026"/>
      <c r="AD764" s="3026"/>
      <c r="AE764" s="3026"/>
      <c r="AF764" s="3026"/>
      <c r="AG764" s="3026"/>
      <c r="AH764" s="3026"/>
      <c r="AI764" s="3026"/>
      <c r="AJ764" s="3026"/>
      <c r="AK764" s="3026"/>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6">
        <f>Application!AJ975</f>
        <v>29256632</v>
      </c>
      <c r="AQ765" s="3016"/>
      <c r="AR765" s="3016"/>
    </row>
    <row r="766" spans="1:49" s="942" customFormat="1" ht="12.75" customHeight="1">
      <c r="A766" s="1316"/>
      <c r="B766" s="923" t="s">
        <v>1855</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27">
        <f>'Sources and Uses Budget'!S107+'Sources and Uses Budget'!T107</f>
        <v>37147003</v>
      </c>
      <c r="AG766" s="3027"/>
      <c r="AH766" s="3027"/>
      <c r="AI766" s="3027"/>
      <c r="AJ766" s="3027"/>
      <c r="AK766" s="1004"/>
      <c r="AL766" s="1004"/>
      <c r="AM766" s="1004"/>
      <c r="AN766" s="999"/>
    </row>
    <row r="767" spans="1:49" s="942" customFormat="1" ht="12.75" customHeight="1">
      <c r="A767" s="1048"/>
      <c r="B767" s="1048" t="s">
        <v>1856</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8">
        <f>AP774</f>
        <v>63673759.600000001</v>
      </c>
      <c r="AG767" s="3028"/>
      <c r="AH767" s="3028"/>
      <c r="AI767" s="3028"/>
      <c r="AJ767" s="3028"/>
      <c r="AK767" s="1004"/>
      <c r="AL767" s="1004"/>
      <c r="AM767" s="1004"/>
      <c r="AN767" s="999"/>
      <c r="AP767" s="3016">
        <f>Application!AJ1024</f>
        <v>0</v>
      </c>
      <c r="AQ767" s="3016"/>
      <c r="AR767" s="3016"/>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9">
        <f>ROUNDDOWN(IF(C759="YES",((1-(AF766/AF767))*2),(1-(AF766/AF767))),2)</f>
        <v>0.41</v>
      </c>
      <c r="AG768" s="3029"/>
      <c r="AH768" s="3029"/>
      <c r="AI768" s="3029"/>
      <c r="AJ768" s="3029"/>
      <c r="AK768" s="1004"/>
      <c r="AL768" s="1004"/>
      <c r="AM768" s="1004"/>
      <c r="AN768" s="999"/>
      <c r="AP768" s="3017">
        <f>Application!AJ1028</f>
        <v>58513264</v>
      </c>
      <c r="AQ768" s="3017"/>
      <c r="AR768" s="3017"/>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6">
        <f>IF(((AP767+AP768)/AP765)&gt;0.8,0.8,((AP767+AP768)/AP765))</f>
        <v>0.8</v>
      </c>
      <c r="AQ769" s="3036"/>
      <c r="AR769" s="3036"/>
    </row>
    <row r="770" spans="1:44" s="942" customFormat="1" ht="12.75" customHeight="1">
      <c r="A770" s="1047"/>
      <c r="B770" s="3088" t="s">
        <v>1857</v>
      </c>
      <c r="C770" s="3089"/>
      <c r="D770" s="3089"/>
      <c r="E770" s="3089"/>
      <c r="F770" s="3089"/>
      <c r="G770" s="3089"/>
      <c r="H770" s="3089"/>
      <c r="I770" s="3089"/>
      <c r="J770" s="3089"/>
      <c r="K770" s="3089"/>
      <c r="L770" s="3089"/>
      <c r="M770" s="3089"/>
      <c r="N770" s="3089"/>
      <c r="O770" s="3089"/>
      <c r="P770" s="3089"/>
      <c r="Q770" s="3089"/>
      <c r="R770" s="3089"/>
      <c r="S770" s="3089"/>
      <c r="T770" s="3089"/>
      <c r="U770" s="3089"/>
      <c r="V770" s="3089"/>
      <c r="W770" s="3089"/>
      <c r="X770" s="3089"/>
      <c r="Y770" s="3089"/>
      <c r="Z770" s="3089"/>
      <c r="AA770" s="3089"/>
      <c r="AB770" s="3089"/>
      <c r="AC770" s="3089"/>
      <c r="AD770" s="3089"/>
      <c r="AE770" s="3089"/>
      <c r="AF770" s="3089"/>
      <c r="AG770" s="3089"/>
      <c r="AH770" s="3089"/>
      <c r="AI770" s="3089"/>
      <c r="AJ770" s="3090"/>
      <c r="AK770" s="1004"/>
      <c r="AL770" s="1004"/>
      <c r="AM770" s="1004"/>
      <c r="AN770" s="999"/>
    </row>
    <row r="771" spans="1:44" s="942" customFormat="1" ht="12.75" customHeight="1">
      <c r="A771" s="1047"/>
      <c r="B771" s="3091"/>
      <c r="C771" s="3092"/>
      <c r="D771" s="3092"/>
      <c r="E771" s="3092"/>
      <c r="F771" s="3092"/>
      <c r="G771" s="3092"/>
      <c r="H771" s="3092"/>
      <c r="I771" s="3092"/>
      <c r="J771" s="3092"/>
      <c r="K771" s="3092"/>
      <c r="L771" s="3092"/>
      <c r="M771" s="3092"/>
      <c r="N771" s="3092"/>
      <c r="O771" s="3092"/>
      <c r="P771" s="3092"/>
      <c r="Q771" s="3092"/>
      <c r="R771" s="3092"/>
      <c r="S771" s="3092"/>
      <c r="T771" s="3092"/>
      <c r="U771" s="3092"/>
      <c r="V771" s="3092"/>
      <c r="W771" s="3092"/>
      <c r="X771" s="3092"/>
      <c r="Y771" s="3092"/>
      <c r="Z771" s="3092"/>
      <c r="AA771" s="3092"/>
      <c r="AB771" s="3092"/>
      <c r="AC771" s="3092"/>
      <c r="AD771" s="3092"/>
      <c r="AE771" s="3092"/>
      <c r="AF771" s="3092"/>
      <c r="AG771" s="3092"/>
      <c r="AH771" s="3092"/>
      <c r="AI771" s="3092"/>
      <c r="AJ771" s="3093"/>
      <c r="AK771" s="1004"/>
      <c r="AL771" s="1004"/>
      <c r="AM771" s="1004"/>
      <c r="AN771" s="999"/>
      <c r="AP771" s="3016">
        <f>AP772-AP767-AP768</f>
        <v>40268454</v>
      </c>
      <c r="AQ771" s="3037"/>
      <c r="AR771" s="3037"/>
    </row>
    <row r="772" spans="1:44" s="942" customFormat="1" ht="12.75" customHeight="1">
      <c r="A772" s="1047"/>
      <c r="B772" s="3094"/>
      <c r="C772" s="3095"/>
      <c r="D772" s="3095"/>
      <c r="E772" s="3095"/>
      <c r="F772" s="3095"/>
      <c r="G772" s="3095"/>
      <c r="H772" s="3095"/>
      <c r="I772" s="3095"/>
      <c r="J772" s="3095"/>
      <c r="K772" s="3095"/>
      <c r="L772" s="3095"/>
      <c r="M772" s="3095"/>
      <c r="N772" s="3095"/>
      <c r="O772" s="3095"/>
      <c r="P772" s="3095"/>
      <c r="Q772" s="3095"/>
      <c r="R772" s="3095"/>
      <c r="S772" s="3095"/>
      <c r="T772" s="3095"/>
      <c r="U772" s="3095"/>
      <c r="V772" s="3095"/>
      <c r="W772" s="3095"/>
      <c r="X772" s="3095"/>
      <c r="Y772" s="3095"/>
      <c r="Z772" s="3095"/>
      <c r="AA772" s="3095"/>
      <c r="AB772" s="3095"/>
      <c r="AC772" s="3095"/>
      <c r="AD772" s="3095"/>
      <c r="AE772" s="3095"/>
      <c r="AF772" s="3095"/>
      <c r="AG772" s="3095"/>
      <c r="AH772" s="3095"/>
      <c r="AI772" s="3095"/>
      <c r="AJ772" s="3096"/>
      <c r="AK772" s="1004"/>
      <c r="AL772" s="1004"/>
      <c r="AM772" s="1004"/>
      <c r="AN772" s="999"/>
      <c r="AP772" s="3016">
        <f>Application!AJ1032</f>
        <v>98781718</v>
      </c>
      <c r="AQ772" s="3016"/>
      <c r="AR772" s="3016"/>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1858</v>
      </c>
      <c r="AK774" s="3097">
        <f>IF(AF768=0,0,IF((AF768*100)&gt;12,12,(AF768*100)))</f>
        <v>12</v>
      </c>
      <c r="AL774" s="3097"/>
      <c r="AM774" s="3098"/>
      <c r="AN774" s="999"/>
      <c r="AP774" s="3005">
        <f>AP771+(AP765*AP769)</f>
        <v>63673759.600000001</v>
      </c>
      <c r="AQ774" s="3006"/>
      <c r="AR774" s="3007"/>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9" t="s">
        <v>1859</v>
      </c>
      <c r="B777" s="3100"/>
      <c r="C777" s="3100"/>
      <c r="D777" s="3100"/>
      <c r="E777" s="3100"/>
      <c r="F777" s="3100"/>
      <c r="G777" s="3100"/>
      <c r="H777" s="3100"/>
      <c r="I777" s="3100"/>
      <c r="J777" s="3100"/>
      <c r="K777" s="3100"/>
      <c r="L777" s="3100"/>
      <c r="M777" s="3100"/>
      <c r="N777" s="3100"/>
      <c r="O777" s="3100"/>
      <c r="P777" s="3100"/>
      <c r="Q777" s="3100"/>
      <c r="R777" s="3100"/>
      <c r="S777" s="3100"/>
      <c r="T777" s="3100"/>
      <c r="U777" s="3100"/>
      <c r="V777" s="3100"/>
      <c r="W777" s="3100"/>
      <c r="X777" s="3100"/>
      <c r="Y777" s="3100"/>
      <c r="Z777" s="3100"/>
      <c r="AA777" s="3100"/>
      <c r="AB777" s="3100"/>
      <c r="AC777" s="3100"/>
      <c r="AD777" s="3100"/>
      <c r="AE777" s="3100"/>
      <c r="AF777" s="3100"/>
      <c r="AG777" s="3100"/>
      <c r="AH777" s="3100"/>
      <c r="AI777" s="3100"/>
      <c r="AJ777" s="3100"/>
      <c r="AK777" s="3100"/>
      <c r="AL777" s="3100"/>
      <c r="AM777" s="3100"/>
    </row>
    <row r="778" spans="1:44">
      <c r="A778" s="3101"/>
      <c r="B778" s="3101"/>
      <c r="C778" s="3101"/>
      <c r="D778" s="3101"/>
      <c r="E778" s="3101"/>
      <c r="F778" s="3101"/>
      <c r="G778" s="3101"/>
      <c r="H778" s="3101"/>
      <c r="I778" s="3101"/>
      <c r="J778" s="3101"/>
      <c r="K778" s="3101"/>
      <c r="L778" s="3101"/>
      <c r="M778" s="3101"/>
      <c r="N778" s="3101"/>
      <c r="O778" s="3101"/>
      <c r="P778" s="3101"/>
      <c r="Q778" s="3101"/>
      <c r="R778" s="3101"/>
      <c r="S778" s="3101"/>
      <c r="T778" s="3101"/>
      <c r="U778" s="3101"/>
      <c r="V778" s="3101"/>
      <c r="W778" s="3101"/>
      <c r="X778" s="3101"/>
      <c r="Y778" s="3101"/>
      <c r="Z778" s="3101"/>
      <c r="AA778" s="3101"/>
      <c r="AB778" s="3101"/>
      <c r="AC778" s="3101"/>
      <c r="AD778" s="3101"/>
      <c r="AE778" s="3101"/>
      <c r="AF778" s="3101"/>
      <c r="AG778" s="3101"/>
      <c r="AH778" s="3101"/>
      <c r="AI778" s="3101"/>
      <c r="AJ778" s="3101"/>
      <c r="AK778" s="3101"/>
      <c r="AL778" s="3101"/>
      <c r="AM778" s="3101"/>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033"/>
      <c r="B780" s="3033"/>
      <c r="C780" s="3033"/>
      <c r="D780" s="3033"/>
      <c r="E780" s="3033"/>
      <c r="F780" s="3033"/>
      <c r="G780" s="3033"/>
      <c r="H780" s="3033"/>
      <c r="I780" s="3033"/>
      <c r="J780" s="3033"/>
      <c r="K780" s="3033"/>
      <c r="L780" s="3033"/>
      <c r="M780" s="3033"/>
      <c r="N780" s="3033"/>
      <c r="O780" s="3033"/>
      <c r="P780" s="3033"/>
      <c r="Q780" s="3033"/>
      <c r="R780" s="3033"/>
      <c r="S780" s="3033"/>
      <c r="T780" s="3033"/>
      <c r="U780" s="3033"/>
      <c r="V780" s="3033"/>
      <c r="W780" s="3033"/>
      <c r="X780" s="3033"/>
      <c r="Y780" s="3033"/>
      <c r="Z780" s="3033"/>
      <c r="AA780" s="3033"/>
      <c r="AB780" s="3033"/>
      <c r="AC780" s="3033"/>
      <c r="AD780" s="3033"/>
      <c r="AE780" s="3033"/>
      <c r="AF780" s="3033"/>
      <c r="AG780" s="3033"/>
      <c r="AH780" s="3033"/>
      <c r="AI780" s="3033"/>
      <c r="AJ780" s="3033"/>
      <c r="AK780" s="3033"/>
      <c r="AL780" s="3033"/>
      <c r="AM780" s="3033"/>
      <c r="AO780" s="1226"/>
      <c r="AP780" s="1319"/>
      <c r="AQ780" s="1318"/>
    </row>
    <row r="781" spans="1:44" ht="13">
      <c r="A781" s="3033"/>
      <c r="B781" s="3033"/>
      <c r="C781" s="3033"/>
      <c r="D781" s="3033"/>
      <c r="E781" s="3033"/>
      <c r="F781" s="3033"/>
      <c r="G781" s="3033"/>
      <c r="H781" s="3033"/>
      <c r="I781" s="3033"/>
      <c r="J781" s="3033"/>
      <c r="K781" s="3033"/>
      <c r="L781" s="3033"/>
      <c r="M781" s="3033"/>
      <c r="N781" s="3033"/>
      <c r="O781" s="3033"/>
      <c r="P781" s="3033"/>
      <c r="Q781" s="3033"/>
      <c r="R781" s="3033"/>
      <c r="S781" s="3033"/>
      <c r="T781" s="3033"/>
      <c r="U781" s="3033"/>
      <c r="V781" s="3033"/>
      <c r="W781" s="3033"/>
      <c r="X781" s="3033"/>
      <c r="Y781" s="3033"/>
      <c r="Z781" s="3033"/>
      <c r="AA781" s="3033"/>
      <c r="AB781" s="3033"/>
      <c r="AC781" s="3033"/>
      <c r="AD781" s="3033"/>
      <c r="AE781" s="3033"/>
      <c r="AF781" s="3033"/>
      <c r="AG781" s="3033"/>
      <c r="AH781" s="3033"/>
      <c r="AI781" s="3033"/>
      <c r="AJ781" s="3033"/>
      <c r="AK781" s="3033"/>
      <c r="AL781" s="3033"/>
      <c r="AM781" s="3033"/>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02" t="s">
        <v>1860</v>
      </c>
      <c r="U782" s="3103"/>
      <c r="V782" s="3103"/>
      <c r="W782" s="3103"/>
      <c r="X782" s="3103"/>
      <c r="Y782" s="3104"/>
      <c r="Z782" s="3102" t="s">
        <v>1861</v>
      </c>
      <c r="AA782" s="3103"/>
      <c r="AB782" s="3103"/>
      <c r="AC782" s="3103"/>
      <c r="AD782" s="3103"/>
      <c r="AE782" s="3104"/>
      <c r="AF782" s="3102" t="s">
        <v>1862</v>
      </c>
      <c r="AG782" s="3103"/>
      <c r="AH782" s="3103"/>
      <c r="AI782" s="3103"/>
      <c r="AJ782" s="3103"/>
      <c r="AK782" s="3104"/>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105"/>
      <c r="U783" s="3106"/>
      <c r="V783" s="3106"/>
      <c r="W783" s="3106"/>
      <c r="X783" s="3106"/>
      <c r="Y783" s="3107"/>
      <c r="Z783" s="3105"/>
      <c r="AA783" s="3106"/>
      <c r="AB783" s="3106"/>
      <c r="AC783" s="3106"/>
      <c r="AD783" s="3106"/>
      <c r="AE783" s="3107"/>
      <c r="AF783" s="3105"/>
      <c r="AG783" s="3106"/>
      <c r="AH783" s="3106"/>
      <c r="AI783" s="3106"/>
      <c r="AJ783" s="3106"/>
      <c r="AK783" s="3107"/>
      <c r="AL783" s="1321"/>
      <c r="AM783" s="1215"/>
      <c r="AO783" s="1319"/>
      <c r="AP783" s="1318"/>
      <c r="AQ783" s="1318"/>
    </row>
    <row r="784" spans="1:44" ht="13">
      <c r="A784" s="1322" t="s">
        <v>797</v>
      </c>
      <c r="B784" s="3056" t="s">
        <v>1560</v>
      </c>
      <c r="C784" s="3056"/>
      <c r="D784" s="3056"/>
      <c r="E784" s="3056"/>
      <c r="F784" s="3056"/>
      <c r="G784" s="3056"/>
      <c r="H784" s="3056"/>
      <c r="I784" s="3056"/>
      <c r="J784" s="3056"/>
      <c r="K784" s="3056"/>
      <c r="L784" s="3056"/>
      <c r="M784" s="3056"/>
      <c r="N784" s="3056"/>
      <c r="O784" s="3056"/>
      <c r="P784" s="3056"/>
      <c r="Q784" s="3056"/>
      <c r="R784" s="3056"/>
      <c r="S784" s="3057"/>
      <c r="T784" s="3087">
        <f>AK51</f>
        <v>0</v>
      </c>
      <c r="U784" s="3060"/>
      <c r="V784" s="3060"/>
      <c r="W784" s="3060"/>
      <c r="X784" s="3060"/>
      <c r="Y784" s="3061"/>
      <c r="Z784" s="3059">
        <v>20</v>
      </c>
      <c r="AA784" s="3060"/>
      <c r="AB784" s="3060"/>
      <c r="AC784" s="3060"/>
      <c r="AD784" s="3060"/>
      <c r="AE784" s="3061"/>
      <c r="AF784" s="3062">
        <f>IF(T784&gt;Z784,Z784,T784)</f>
        <v>0</v>
      </c>
      <c r="AG784" s="3062"/>
      <c r="AH784" s="3062"/>
      <c r="AI784" s="3062"/>
      <c r="AJ784" s="3062"/>
      <c r="AK784" s="3062"/>
      <c r="AL784" s="1321"/>
      <c r="AM784" s="1215"/>
      <c r="AO784" s="1318"/>
      <c r="AP784" s="1318"/>
      <c r="AQ784" s="1318"/>
    </row>
    <row r="785" spans="1:81" ht="13">
      <c r="A785" s="1322" t="s">
        <v>1828</v>
      </c>
      <c r="B785" s="3056" t="s">
        <v>1581</v>
      </c>
      <c r="C785" s="3056"/>
      <c r="D785" s="3056"/>
      <c r="E785" s="3056"/>
      <c r="F785" s="3056"/>
      <c r="G785" s="3056"/>
      <c r="H785" s="3056"/>
      <c r="I785" s="3056"/>
      <c r="J785" s="3056"/>
      <c r="K785" s="3056"/>
      <c r="L785" s="3056"/>
      <c r="M785" s="3056"/>
      <c r="N785" s="3056"/>
      <c r="O785" s="3056"/>
      <c r="P785" s="3056"/>
      <c r="Q785" s="3056"/>
      <c r="R785" s="3056"/>
      <c r="S785" s="3057"/>
      <c r="T785" s="3087">
        <f>AK72</f>
        <v>10</v>
      </c>
      <c r="U785" s="3060"/>
      <c r="V785" s="3060"/>
      <c r="W785" s="3060"/>
      <c r="X785" s="3060"/>
      <c r="Y785" s="3061"/>
      <c r="Z785" s="3059">
        <v>10</v>
      </c>
      <c r="AA785" s="3060"/>
      <c r="AB785" s="3060"/>
      <c r="AC785" s="3060"/>
      <c r="AD785" s="3060"/>
      <c r="AE785" s="3061"/>
      <c r="AF785" s="3062">
        <f>IF(T785&gt;Z785,Z785,T785)</f>
        <v>10</v>
      </c>
      <c r="AG785" s="3062"/>
      <c r="AH785" s="3062"/>
      <c r="AI785" s="3062"/>
      <c r="AJ785" s="3062"/>
      <c r="AK785" s="3062"/>
      <c r="AL785" s="1321"/>
      <c r="AM785" s="1215"/>
      <c r="AO785" s="1318"/>
      <c r="AP785" s="1318"/>
      <c r="AQ785" s="1318"/>
    </row>
    <row r="786" spans="1:81" ht="13">
      <c r="A786" s="1322" t="s">
        <v>1837</v>
      </c>
      <c r="B786" s="3056" t="s">
        <v>1591</v>
      </c>
      <c r="C786" s="3056"/>
      <c r="D786" s="3056"/>
      <c r="E786" s="3056"/>
      <c r="F786" s="3056"/>
      <c r="G786" s="3056"/>
      <c r="H786" s="3056"/>
      <c r="I786" s="3056"/>
      <c r="J786" s="3056"/>
      <c r="K786" s="3056"/>
      <c r="L786" s="3056"/>
      <c r="M786" s="3056"/>
      <c r="N786" s="3056"/>
      <c r="O786" s="3056"/>
      <c r="P786" s="3056"/>
      <c r="Q786" s="3056"/>
      <c r="R786" s="3056"/>
      <c r="S786" s="3057"/>
      <c r="T786" s="3087">
        <f>AK97</f>
        <v>20</v>
      </c>
      <c r="U786" s="3060"/>
      <c r="V786" s="3060"/>
      <c r="W786" s="3060"/>
      <c r="X786" s="3060"/>
      <c r="Y786" s="3061"/>
      <c r="Z786" s="3059">
        <v>20</v>
      </c>
      <c r="AA786" s="3060"/>
      <c r="AB786" s="3060"/>
      <c r="AC786" s="3060"/>
      <c r="AD786" s="3060"/>
      <c r="AE786" s="3061"/>
      <c r="AF786" s="3062">
        <f>IF(T786&gt;Z786,Z786,T786)</f>
        <v>20</v>
      </c>
      <c r="AG786" s="3062"/>
      <c r="AH786" s="3062"/>
      <c r="AI786" s="3062"/>
      <c r="AJ786" s="3062"/>
      <c r="AK786" s="3062"/>
      <c r="AL786" s="1321"/>
      <c r="AM786" s="1215"/>
      <c r="AO786" s="1318"/>
      <c r="AP786" s="1318"/>
      <c r="AQ786" s="1318"/>
    </row>
    <row r="787" spans="1:81" ht="13">
      <c r="A787" s="1322" t="s">
        <v>1863</v>
      </c>
      <c r="B787" s="3056" t="s">
        <v>1601</v>
      </c>
      <c r="C787" s="3056"/>
      <c r="D787" s="3056"/>
      <c r="E787" s="3056"/>
      <c r="F787" s="3056"/>
      <c r="G787" s="3056"/>
      <c r="H787" s="3056"/>
      <c r="I787" s="3056"/>
      <c r="J787" s="3056"/>
      <c r="K787" s="3056"/>
      <c r="L787" s="3056"/>
      <c r="M787" s="3056"/>
      <c r="N787" s="3056"/>
      <c r="O787" s="3056"/>
      <c r="P787" s="3056"/>
      <c r="Q787" s="3056"/>
      <c r="R787" s="3056"/>
      <c r="S787" s="3057"/>
      <c r="T787" s="3087">
        <f>AK131</f>
        <v>10</v>
      </c>
      <c r="U787" s="3060"/>
      <c r="V787" s="3060"/>
      <c r="W787" s="3060"/>
      <c r="X787" s="3060"/>
      <c r="Y787" s="3061"/>
      <c r="Z787" s="3059">
        <v>10</v>
      </c>
      <c r="AA787" s="3060"/>
      <c r="AB787" s="3060"/>
      <c r="AC787" s="3060"/>
      <c r="AD787" s="3060"/>
      <c r="AE787" s="3061"/>
      <c r="AF787" s="3062">
        <f>IF(T787&gt;Z787,Z787,T787)</f>
        <v>10</v>
      </c>
      <c r="AG787" s="3062"/>
      <c r="AH787" s="3062"/>
      <c r="AI787" s="3062"/>
      <c r="AJ787" s="3062"/>
      <c r="AK787" s="3062"/>
      <c r="AL787" s="1321"/>
      <c r="AM787" s="1215"/>
      <c r="AO787" s="1318"/>
      <c r="AP787" s="1318"/>
      <c r="AQ787" s="1318"/>
    </row>
    <row r="788" spans="1:81" ht="13">
      <c r="A788" s="1324" t="s">
        <v>1864</v>
      </c>
      <c r="B788" s="3056" t="s">
        <v>1865</v>
      </c>
      <c r="C788" s="3056"/>
      <c r="D788" s="3056"/>
      <c r="E788" s="3056"/>
      <c r="F788" s="3056"/>
      <c r="G788" s="3056"/>
      <c r="H788" s="3056"/>
      <c r="I788" s="3056"/>
      <c r="J788" s="3056"/>
      <c r="K788" s="3056"/>
      <c r="L788" s="3056"/>
      <c r="M788" s="3056"/>
      <c r="N788" s="3056"/>
      <c r="O788" s="3056"/>
      <c r="P788" s="3056"/>
      <c r="Q788" s="3056"/>
      <c r="R788" s="3056"/>
      <c r="S788" s="3057"/>
      <c r="T788" s="3058">
        <f>SUM(T789:Y790)</f>
        <v>10</v>
      </c>
      <c r="U788" s="3058"/>
      <c r="V788" s="3058"/>
      <c r="W788" s="3058"/>
      <c r="X788" s="3058"/>
      <c r="Y788" s="3058"/>
      <c r="Z788" s="3062">
        <v>10</v>
      </c>
      <c r="AA788" s="3062"/>
      <c r="AB788" s="3062"/>
      <c r="AC788" s="3062"/>
      <c r="AD788" s="3062"/>
      <c r="AE788" s="3062"/>
      <c r="AF788" s="3062">
        <f>IF(T788&gt;Z788,Z788,T788)</f>
        <v>10</v>
      </c>
      <c r="AG788" s="3062"/>
      <c r="AH788" s="3062"/>
      <c r="AI788" s="3062"/>
      <c r="AJ788" s="3062"/>
      <c r="AK788" s="3062"/>
      <c r="AL788" s="1321"/>
      <c r="AM788" s="1215"/>
    </row>
    <row r="789" spans="1:81" ht="13">
      <c r="A789" s="925"/>
      <c r="B789" s="1008"/>
      <c r="C789" s="3063" t="s">
        <v>1866</v>
      </c>
      <c r="D789" s="3063"/>
      <c r="E789" s="3063"/>
      <c r="F789" s="3063"/>
      <c r="G789" s="3063"/>
      <c r="H789" s="3063"/>
      <c r="I789" s="3063"/>
      <c r="J789" s="3063"/>
      <c r="K789" s="3063"/>
      <c r="L789" s="3063"/>
      <c r="M789" s="3063"/>
      <c r="N789" s="3063"/>
      <c r="O789" s="3063"/>
      <c r="P789" s="3063"/>
      <c r="Q789" s="3063"/>
      <c r="R789" s="3063"/>
      <c r="S789" s="3064"/>
      <c r="T789" s="3065">
        <f>AJ149</f>
        <v>7</v>
      </c>
      <c r="U789" s="3065"/>
      <c r="V789" s="3065"/>
      <c r="W789" s="3065"/>
      <c r="X789" s="3065"/>
      <c r="Y789" s="3065"/>
      <c r="Z789" s="3066">
        <v>7</v>
      </c>
      <c r="AA789" s="3066"/>
      <c r="AB789" s="3066"/>
      <c r="AC789" s="3066"/>
      <c r="AD789" s="3066"/>
      <c r="AE789" s="3066"/>
      <c r="AF789" s="3067"/>
      <c r="AG789" s="3067"/>
      <c r="AH789" s="3067"/>
      <c r="AI789" s="3067"/>
      <c r="AJ789" s="3067"/>
      <c r="AK789" s="3067"/>
      <c r="AL789" s="1321"/>
      <c r="AM789" s="1215"/>
    </row>
    <row r="790" spans="1:81" ht="13">
      <c r="A790" s="1325"/>
      <c r="B790" s="1008"/>
      <c r="C790" s="3063" t="s">
        <v>1867</v>
      </c>
      <c r="D790" s="3063"/>
      <c r="E790" s="3063"/>
      <c r="F790" s="3063"/>
      <c r="G790" s="3063"/>
      <c r="H790" s="3063"/>
      <c r="I790" s="3063"/>
      <c r="J790" s="3063"/>
      <c r="K790" s="3063"/>
      <c r="L790" s="3063"/>
      <c r="M790" s="3063"/>
      <c r="N790" s="3063"/>
      <c r="O790" s="3063"/>
      <c r="P790" s="3063"/>
      <c r="Q790" s="3063"/>
      <c r="R790" s="3063"/>
      <c r="S790" s="3064"/>
      <c r="T790" s="3065">
        <f>AJ163</f>
        <v>3</v>
      </c>
      <c r="U790" s="3065"/>
      <c r="V790" s="3065"/>
      <c r="W790" s="3065"/>
      <c r="X790" s="3065"/>
      <c r="Y790" s="3065"/>
      <c r="Z790" s="3066">
        <v>3</v>
      </c>
      <c r="AA790" s="3066"/>
      <c r="AB790" s="3066"/>
      <c r="AC790" s="3066"/>
      <c r="AD790" s="3066"/>
      <c r="AE790" s="3066"/>
      <c r="AF790" s="3067"/>
      <c r="AG790" s="3067"/>
      <c r="AH790" s="3067"/>
      <c r="AI790" s="3067"/>
      <c r="AJ790" s="3067"/>
      <c r="AK790" s="3067"/>
      <c r="AL790" s="1321"/>
      <c r="AM790" s="1215"/>
      <c r="AO790" s="942"/>
    </row>
    <row r="791" spans="1:81" ht="13">
      <c r="A791" s="1324" t="s">
        <v>1629</v>
      </c>
      <c r="B791" s="3056" t="s">
        <v>1868</v>
      </c>
      <c r="C791" s="3056"/>
      <c r="D791" s="3056"/>
      <c r="E791" s="3056"/>
      <c r="F791" s="3056"/>
      <c r="G791" s="3056"/>
      <c r="H791" s="3056"/>
      <c r="I791" s="3056"/>
      <c r="J791" s="3056"/>
      <c r="K791" s="3056"/>
      <c r="L791" s="3056"/>
      <c r="M791" s="3056"/>
      <c r="N791" s="3056"/>
      <c r="O791" s="3056"/>
      <c r="P791" s="3056"/>
      <c r="Q791" s="3056"/>
      <c r="R791" s="3056"/>
      <c r="S791" s="3057"/>
      <c r="T791" s="3058">
        <f>AK174</f>
        <v>10</v>
      </c>
      <c r="U791" s="3058"/>
      <c r="V791" s="3058"/>
      <c r="W791" s="3058"/>
      <c r="X791" s="3058"/>
      <c r="Y791" s="3058"/>
      <c r="Z791" s="3062">
        <v>10</v>
      </c>
      <c r="AA791" s="3062"/>
      <c r="AB791" s="3062"/>
      <c r="AC791" s="3062"/>
      <c r="AD791" s="3062"/>
      <c r="AE791" s="3062"/>
      <c r="AF791" s="3062">
        <f>IF(T791&gt;Z791,Z791,T791)</f>
        <v>10</v>
      </c>
      <c r="AG791" s="3062"/>
      <c r="AH791" s="3062"/>
      <c r="AI791" s="3062"/>
      <c r="AJ791" s="3062"/>
      <c r="AK791" s="3062"/>
      <c r="AL791" s="1321"/>
      <c r="AM791" s="1215"/>
    </row>
    <row r="792" spans="1:81" ht="13">
      <c r="A792" s="1322" t="s">
        <v>1638</v>
      </c>
      <c r="B792" s="3056" t="s">
        <v>1639</v>
      </c>
      <c r="C792" s="3056"/>
      <c r="D792" s="3056"/>
      <c r="E792" s="3056"/>
      <c r="F792" s="3056"/>
      <c r="G792" s="3056"/>
      <c r="H792" s="3056"/>
      <c r="I792" s="3056"/>
      <c r="J792" s="3056"/>
      <c r="K792" s="3056"/>
      <c r="L792" s="3056"/>
      <c r="M792" s="3056"/>
      <c r="N792" s="3056"/>
      <c r="O792" s="3056"/>
      <c r="P792" s="3056"/>
      <c r="Q792" s="3056"/>
      <c r="R792" s="3056"/>
      <c r="S792" s="3057"/>
      <c r="T792" s="3058">
        <f>AK256</f>
        <v>8</v>
      </c>
      <c r="U792" s="3058"/>
      <c r="V792" s="3058"/>
      <c r="W792" s="3058"/>
      <c r="X792" s="3058"/>
      <c r="Y792" s="3058"/>
      <c r="Z792" s="3059">
        <v>8</v>
      </c>
      <c r="AA792" s="3060"/>
      <c r="AB792" s="3060"/>
      <c r="AC792" s="3060"/>
      <c r="AD792" s="3060"/>
      <c r="AE792" s="3061"/>
      <c r="AF792" s="3062">
        <f>IF(T792&gt;Z792,Z792,T792)</f>
        <v>8</v>
      </c>
      <c r="AG792" s="3062"/>
      <c r="AH792" s="3062"/>
      <c r="AI792" s="3062"/>
      <c r="AJ792" s="3062"/>
      <c r="AK792" s="3062"/>
      <c r="AL792" s="1321"/>
      <c r="AM792" s="1215"/>
    </row>
    <row r="793" spans="1:81" s="924" customFormat="1" ht="13" hidden="1">
      <c r="A793" s="1324" t="s">
        <v>623</v>
      </c>
      <c r="B793" s="3056" t="s">
        <v>1869</v>
      </c>
      <c r="C793" s="3056"/>
      <c r="D793" s="3056"/>
      <c r="E793" s="3056"/>
      <c r="F793" s="3056"/>
      <c r="G793" s="3056"/>
      <c r="H793" s="3056"/>
      <c r="I793" s="3056"/>
      <c r="J793" s="3056"/>
      <c r="K793" s="3056"/>
      <c r="L793" s="3056"/>
      <c r="M793" s="3056"/>
      <c r="N793" s="3056"/>
      <c r="O793" s="3056"/>
      <c r="P793" s="3056"/>
      <c r="Q793" s="3056"/>
      <c r="R793" s="3056"/>
      <c r="S793" s="3057"/>
      <c r="T793" s="3058">
        <f>IF(AK750&gt;5,5,AK750)</f>
        <v>0</v>
      </c>
      <c r="U793" s="3058"/>
      <c r="V793" s="3058"/>
      <c r="W793" s="3058"/>
      <c r="X793" s="3058"/>
      <c r="Y793" s="3058"/>
      <c r="Z793" s="3062">
        <v>5</v>
      </c>
      <c r="AA793" s="3062"/>
      <c r="AB793" s="3062"/>
      <c r="AC793" s="3062"/>
      <c r="AD793" s="3062"/>
      <c r="AE793" s="3062"/>
      <c r="AF793" s="3062">
        <f>IF(T793&gt;Z793,5,T793)</f>
        <v>0</v>
      </c>
      <c r="AG793" s="3062"/>
      <c r="AH793" s="3062"/>
      <c r="AI793" s="3062"/>
      <c r="AJ793" s="3062"/>
      <c r="AK793" s="3062"/>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1644</v>
      </c>
      <c r="B794" s="3056" t="s">
        <v>1870</v>
      </c>
      <c r="C794" s="3056"/>
      <c r="D794" s="3056"/>
      <c r="E794" s="3056"/>
      <c r="F794" s="3056"/>
      <c r="G794" s="3056"/>
      <c r="H794" s="3056"/>
      <c r="I794" s="3056"/>
      <c r="J794" s="3056"/>
      <c r="K794" s="3056"/>
      <c r="L794" s="3056"/>
      <c r="M794" s="3056"/>
      <c r="N794" s="3056"/>
      <c r="O794" s="3056"/>
      <c r="P794" s="3056"/>
      <c r="Q794" s="3056"/>
      <c r="R794" s="3056"/>
      <c r="S794" s="3057"/>
      <c r="T794" s="3058">
        <f>AK267</f>
        <v>10</v>
      </c>
      <c r="U794" s="3058"/>
      <c r="V794" s="3058"/>
      <c r="W794" s="3058"/>
      <c r="X794" s="3058"/>
      <c r="Y794" s="3058"/>
      <c r="Z794" s="3062">
        <v>10</v>
      </c>
      <c r="AA794" s="3062"/>
      <c r="AB794" s="3062"/>
      <c r="AC794" s="3062"/>
      <c r="AD794" s="3062"/>
      <c r="AE794" s="3062"/>
      <c r="AF794" s="3068">
        <f>IF(T794&gt;Z794,Z794,T794)</f>
        <v>10</v>
      </c>
      <c r="AG794" s="3069"/>
      <c r="AH794" s="3069"/>
      <c r="AI794" s="3069"/>
      <c r="AJ794" s="3069"/>
      <c r="AK794" s="3070"/>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1648</v>
      </c>
      <c r="B795" s="3056" t="s">
        <v>1649</v>
      </c>
      <c r="C795" s="3056"/>
      <c r="D795" s="3056"/>
      <c r="E795" s="3056"/>
      <c r="F795" s="3056"/>
      <c r="G795" s="3056"/>
      <c r="H795" s="3056"/>
      <c r="I795" s="3056"/>
      <c r="J795" s="3056"/>
      <c r="K795" s="3056"/>
      <c r="L795" s="3056"/>
      <c r="M795" s="3056"/>
      <c r="N795" s="3056"/>
      <c r="O795" s="3056"/>
      <c r="P795" s="3056"/>
      <c r="Q795" s="3056"/>
      <c r="R795" s="3056"/>
      <c r="S795" s="3057"/>
      <c r="T795" s="3058">
        <f>AK553</f>
        <v>19</v>
      </c>
      <c r="U795" s="3058"/>
      <c r="V795" s="3058"/>
      <c r="W795" s="3058"/>
      <c r="X795" s="3058"/>
      <c r="Y795" s="3058"/>
      <c r="Z795" s="3068">
        <v>20</v>
      </c>
      <c r="AA795" s="3069"/>
      <c r="AB795" s="3069"/>
      <c r="AC795" s="3069"/>
      <c r="AD795" s="3069"/>
      <c r="AE795" s="3070"/>
      <c r="AF795" s="3068">
        <f>IF(T795&gt;Z795,Z795,T795)</f>
        <v>19</v>
      </c>
      <c r="AG795" s="3071"/>
      <c r="AH795" s="3071"/>
      <c r="AI795" s="3071"/>
      <c r="AJ795" s="3071"/>
      <c r="AK795" s="3072"/>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1871</v>
      </c>
      <c r="D796" s="1329"/>
      <c r="E796" s="1329"/>
      <c r="F796" s="1329"/>
      <c r="G796" s="1329"/>
      <c r="H796" s="1329"/>
      <c r="I796" s="1329"/>
      <c r="J796" s="1329"/>
      <c r="K796" s="1329"/>
      <c r="L796" s="1329"/>
      <c r="M796" s="1329"/>
      <c r="N796" s="1329"/>
      <c r="O796" s="1329"/>
      <c r="P796" s="1329"/>
      <c r="Q796" s="1329"/>
      <c r="R796" s="1327"/>
      <c r="S796" s="1330"/>
      <c r="T796" s="3065">
        <f>AK320</f>
        <v>9</v>
      </c>
      <c r="U796" s="3065"/>
      <c r="V796" s="3065"/>
      <c r="W796" s="3065"/>
      <c r="X796" s="3065"/>
      <c r="Y796" s="3065"/>
      <c r="Z796" s="3030">
        <v>20</v>
      </c>
      <c r="AA796" s="3031"/>
      <c r="AB796" s="3031"/>
      <c r="AC796" s="3031"/>
      <c r="AD796" s="3031"/>
      <c r="AE796" s="3032"/>
      <c r="AF796" s="3067"/>
      <c r="AG796" s="3067"/>
      <c r="AH796" s="3067"/>
      <c r="AI796" s="3067"/>
      <c r="AJ796" s="3067"/>
      <c r="AK796" s="3067"/>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1872</v>
      </c>
      <c r="D797" s="1328"/>
      <c r="E797" s="1328"/>
      <c r="F797" s="1328"/>
      <c r="G797" s="1328"/>
      <c r="H797" s="1328"/>
      <c r="I797" s="1328"/>
      <c r="J797" s="1328"/>
      <c r="K797" s="1328"/>
      <c r="L797" s="1328"/>
      <c r="M797" s="1328"/>
      <c r="N797" s="1328"/>
      <c r="O797" s="1328"/>
      <c r="P797" s="1328"/>
      <c r="Q797" s="1328"/>
      <c r="R797" s="1327"/>
      <c r="S797" s="1330"/>
      <c r="T797" s="3065">
        <f>AK551</f>
        <v>10</v>
      </c>
      <c r="U797" s="3065"/>
      <c r="V797" s="3065"/>
      <c r="W797" s="3065"/>
      <c r="X797" s="3065"/>
      <c r="Y797" s="3065"/>
      <c r="Z797" s="3030">
        <v>10</v>
      </c>
      <c r="AA797" s="3031"/>
      <c r="AB797" s="3031"/>
      <c r="AC797" s="3031"/>
      <c r="AD797" s="3031"/>
      <c r="AE797" s="3032"/>
      <c r="AF797" s="3067"/>
      <c r="AG797" s="3067"/>
      <c r="AH797" s="3067"/>
      <c r="AI797" s="3067"/>
      <c r="AJ797" s="3067"/>
      <c r="AK797" s="3067"/>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1734</v>
      </c>
      <c r="B798" s="3056" t="s">
        <v>907</v>
      </c>
      <c r="C798" s="3056"/>
      <c r="D798" s="3056"/>
      <c r="E798" s="3056"/>
      <c r="F798" s="3056"/>
      <c r="G798" s="3056"/>
      <c r="H798" s="3056"/>
      <c r="I798" s="3056"/>
      <c r="J798" s="3056"/>
      <c r="K798" s="3056"/>
      <c r="L798" s="3056"/>
      <c r="M798" s="3056"/>
      <c r="N798" s="3056"/>
      <c r="O798" s="3056"/>
      <c r="P798" s="3056"/>
      <c r="Q798" s="3056"/>
      <c r="R798" s="3056"/>
      <c r="S798" s="3057"/>
      <c r="T798" s="3058">
        <f>AK684</f>
        <v>10</v>
      </c>
      <c r="U798" s="3058"/>
      <c r="V798" s="3058"/>
      <c r="W798" s="3058"/>
      <c r="X798" s="3058"/>
      <c r="Y798" s="3058"/>
      <c r="Z798" s="3068">
        <v>10</v>
      </c>
      <c r="AA798" s="3069"/>
      <c r="AB798" s="3069"/>
      <c r="AC798" s="3069"/>
      <c r="AD798" s="3069"/>
      <c r="AE798" s="3070"/>
      <c r="AF798" s="3062">
        <f>IF(T798&gt;Z798,Z798,T798)</f>
        <v>10</v>
      </c>
      <c r="AG798" s="3062"/>
      <c r="AH798" s="3062"/>
      <c r="AI798" s="3062"/>
      <c r="AJ798" s="3062"/>
      <c r="AK798" s="3062"/>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1847</v>
      </c>
      <c r="B799" s="3056" t="s">
        <v>1848</v>
      </c>
      <c r="C799" s="3056"/>
      <c r="D799" s="3056"/>
      <c r="E799" s="3056"/>
      <c r="F799" s="3056"/>
      <c r="G799" s="3056"/>
      <c r="H799" s="3056"/>
      <c r="I799" s="3056"/>
      <c r="J799" s="3056"/>
      <c r="K799" s="3056"/>
      <c r="L799" s="3056"/>
      <c r="M799" s="3056"/>
      <c r="N799" s="3056"/>
      <c r="O799" s="3056"/>
      <c r="P799" s="3056"/>
      <c r="Q799" s="3056"/>
      <c r="R799" s="3056"/>
      <c r="S799" s="3057"/>
      <c r="T799" s="3058">
        <f>AK774</f>
        <v>12</v>
      </c>
      <c r="U799" s="3058"/>
      <c r="V799" s="3058"/>
      <c r="W799" s="3058"/>
      <c r="X799" s="3058"/>
      <c r="Y799" s="3058"/>
      <c r="Z799" s="3068">
        <v>12</v>
      </c>
      <c r="AA799" s="3069"/>
      <c r="AB799" s="3069"/>
      <c r="AC799" s="3069"/>
      <c r="AD799" s="3069"/>
      <c r="AE799" s="3070"/>
      <c r="AF799" s="3062">
        <f>IF(T799&gt;Z799,Z799,T799)</f>
        <v>12</v>
      </c>
      <c r="AG799" s="3062"/>
      <c r="AH799" s="3062"/>
      <c r="AI799" s="3062"/>
      <c r="AJ799" s="3062"/>
      <c r="AK799" s="3062"/>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073" t="s">
        <v>1873</v>
      </c>
      <c r="B800" s="3056"/>
      <c r="C800" s="3056"/>
      <c r="D800" s="3056"/>
      <c r="E800" s="3056"/>
      <c r="F800" s="3056"/>
      <c r="G800" s="3056"/>
      <c r="H800" s="3056"/>
      <c r="I800" s="3056"/>
      <c r="J800" s="3056"/>
      <c r="K800" s="3056"/>
      <c r="L800" s="3056"/>
      <c r="M800" s="3056"/>
      <c r="N800" s="3056"/>
      <c r="O800" s="3056"/>
      <c r="P800" s="3056"/>
      <c r="Q800" s="3056"/>
      <c r="R800" s="3056"/>
      <c r="S800" s="3057"/>
      <c r="T800" s="3074"/>
      <c r="U800" s="3074"/>
      <c r="V800" s="3074"/>
      <c r="W800" s="3074"/>
      <c r="X800" s="3074"/>
      <c r="Y800" s="3074"/>
      <c r="Z800" s="3066" t="s">
        <v>1874</v>
      </c>
      <c r="AA800" s="3066"/>
      <c r="AB800" s="3066"/>
      <c r="AC800" s="3066"/>
      <c r="AD800" s="3066"/>
      <c r="AE800" s="3066"/>
      <c r="AF800" s="3068">
        <f>IF(T800&gt;0,T800,0)</f>
        <v>0</v>
      </c>
      <c r="AG800" s="3069"/>
      <c r="AH800" s="3069"/>
      <c r="AI800" s="3069"/>
      <c r="AJ800" s="3069"/>
      <c r="AK800" s="3070"/>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075" t="s">
        <v>1875</v>
      </c>
      <c r="B801" s="3076"/>
      <c r="C801" s="3076"/>
      <c r="D801" s="3076"/>
      <c r="E801" s="3076"/>
      <c r="F801" s="3076"/>
      <c r="G801" s="3076"/>
      <c r="H801" s="3076"/>
      <c r="I801" s="3076"/>
      <c r="J801" s="3076"/>
      <c r="K801" s="3076"/>
      <c r="L801" s="3076"/>
      <c r="M801" s="3076"/>
      <c r="N801" s="3076"/>
      <c r="O801" s="3076"/>
      <c r="P801" s="3076"/>
      <c r="Q801" s="3076"/>
      <c r="R801" s="3076"/>
      <c r="S801" s="3076"/>
      <c r="T801" s="3076"/>
      <c r="U801" s="3076"/>
      <c r="V801" s="3076"/>
      <c r="W801" s="3076"/>
      <c r="X801" s="3076"/>
      <c r="Y801" s="3076"/>
      <c r="Z801" s="3076"/>
      <c r="AA801" s="3076"/>
      <c r="AB801" s="3076"/>
      <c r="AC801" s="3076"/>
      <c r="AD801" s="3076"/>
      <c r="AE801" s="3077"/>
      <c r="AF801" s="3081">
        <f>SUM(AF784:AK799)-AF800</f>
        <v>119</v>
      </c>
      <c r="AG801" s="3082"/>
      <c r="AH801" s="3082"/>
      <c r="AI801" s="3082"/>
      <c r="AJ801" s="3082"/>
      <c r="AK801" s="3083"/>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078"/>
      <c r="B802" s="3079"/>
      <c r="C802" s="3079"/>
      <c r="D802" s="3079"/>
      <c r="E802" s="3079"/>
      <c r="F802" s="3079"/>
      <c r="G802" s="3079"/>
      <c r="H802" s="3079"/>
      <c r="I802" s="3079"/>
      <c r="J802" s="3079"/>
      <c r="K802" s="3079"/>
      <c r="L802" s="3079"/>
      <c r="M802" s="3079"/>
      <c r="N802" s="3079"/>
      <c r="O802" s="3079"/>
      <c r="P802" s="3079"/>
      <c r="Q802" s="3079"/>
      <c r="R802" s="3079"/>
      <c r="S802" s="3079"/>
      <c r="T802" s="3079"/>
      <c r="U802" s="3079"/>
      <c r="V802" s="3079"/>
      <c r="W802" s="3079"/>
      <c r="X802" s="3079"/>
      <c r="Y802" s="3079"/>
      <c r="Z802" s="3079"/>
      <c r="AA802" s="3079"/>
      <c r="AB802" s="3079"/>
      <c r="AC802" s="3079"/>
      <c r="AD802" s="3079"/>
      <c r="AE802" s="3080"/>
      <c r="AF802" s="3084"/>
      <c r="AG802" s="3085"/>
      <c r="AH802" s="3085"/>
      <c r="AI802" s="3085"/>
      <c r="AJ802" s="3085"/>
      <c r="AK802" s="3086"/>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7" sqref="E7"/>
    </sheetView>
  </sheetViews>
  <sheetFormatPr defaultColWidth="9.1796875" defaultRowHeight="14"/>
  <cols>
    <col min="1" max="1" width="3.6328125" style="1333" customWidth="1"/>
    <col min="2" max="2" width="1.6328125" style="1333" customWidth="1"/>
    <col min="3" max="3" width="2.6328125" style="1333" customWidth="1"/>
    <col min="4" max="4" width="40.6328125" style="1333" customWidth="1"/>
    <col min="5" max="5" width="13.453125" style="1333" customWidth="1"/>
    <col min="6" max="6" width="2.6328125" style="1337" customWidth="1"/>
    <col min="7" max="7" width="10.6328125" style="1333" customWidth="1"/>
    <col min="8" max="8" width="2.6328125" style="1337" customWidth="1"/>
    <col min="9" max="9" width="10.6328125" style="1333" customWidth="1"/>
    <col min="10" max="10" width="1.453125" style="1333" customWidth="1"/>
    <col min="11" max="11" width="47.453125" style="1334" customWidth="1"/>
    <col min="12" max="16384" width="9.1796875" style="1333"/>
  </cols>
  <sheetData>
    <row r="1" spans="1:11" ht="30" customHeight="1">
      <c r="A1" s="3267" t="s">
        <v>1876</v>
      </c>
      <c r="B1" s="3267"/>
      <c r="C1" s="3267"/>
      <c r="D1" s="3267"/>
      <c r="E1" s="3267"/>
      <c r="F1" s="3267"/>
      <c r="G1" s="3267"/>
      <c r="H1" s="3267"/>
      <c r="I1" s="3267"/>
    </row>
    <row r="2" spans="1:11">
      <c r="A2" s="1335"/>
      <c r="B2" s="1335"/>
      <c r="E2" s="1336"/>
      <c r="I2" s="1338"/>
      <c r="K2" s="1339"/>
    </row>
    <row r="3" spans="1:11">
      <c r="A3" s="1340" t="s">
        <v>1583</v>
      </c>
      <c r="B3" s="1340"/>
      <c r="C3" s="1333" t="s">
        <v>2179</v>
      </c>
      <c r="E3" s="1825">
        <f>ROUND(Application!AM564+'Basis &amp; Credits'!AB77,0)</f>
        <v>28032202</v>
      </c>
      <c r="F3" s="1341"/>
      <c r="K3" s="1412"/>
    </row>
    <row r="4" spans="1:11" s="1342" customFormat="1" ht="15" customHeight="1">
      <c r="C4" s="1342" t="s">
        <v>1877</v>
      </c>
      <c r="E4" s="1418">
        <f>Application!AD1037</f>
        <v>0.24780701754385964</v>
      </c>
      <c r="F4" s="1343"/>
      <c r="H4" s="1344"/>
      <c r="K4" s="1631"/>
    </row>
    <row r="5" spans="1:11" s="1345" customFormat="1" ht="15" customHeight="1">
      <c r="A5" s="3268"/>
      <c r="B5" s="3268"/>
      <c r="D5" s="1345" t="s">
        <v>2180</v>
      </c>
      <c r="E5" s="1346">
        <f>IF('CDLAC Points System'!C274="Yes",0.2,0)</f>
        <v>0</v>
      </c>
      <c r="F5" s="1343"/>
      <c r="H5" s="1344"/>
      <c r="K5" s="1632"/>
    </row>
    <row r="6" spans="1:11" s="1345" customFormat="1" ht="15" customHeight="1">
      <c r="A6" s="1495"/>
      <c r="B6" s="1495"/>
      <c r="D6" s="1345" t="s">
        <v>2181</v>
      </c>
      <c r="E6" s="1346">
        <f>IF(AND((Application!W464&gt;=(0.5*Application!G753)),Application!D210="Special Needs",(OR(Application!M354="Yes",Application!M355="Yes"))),0.2," ")</f>
        <v>0.2</v>
      </c>
      <c r="F6" s="1343"/>
      <c r="H6" s="1344"/>
      <c r="K6" s="1632"/>
    </row>
    <row r="7" spans="1:11">
      <c r="A7" s="1335"/>
      <c r="B7" s="1335"/>
      <c r="C7" s="1333" t="s">
        <v>2183</v>
      </c>
      <c r="E7" s="1416">
        <f>E3-(E3*(E4+(MAX(E5,E6))))</f>
        <v>15479185.227192983</v>
      </c>
      <c r="F7" s="1341"/>
      <c r="I7" s="1347"/>
      <c r="K7" s="1633"/>
    </row>
    <row r="8" spans="1:11">
      <c r="A8" s="1335"/>
      <c r="B8" s="1335"/>
      <c r="E8" s="1347"/>
      <c r="F8" s="1348"/>
      <c r="G8" s="1349"/>
      <c r="H8" s="1350"/>
      <c r="I8" s="1347"/>
    </row>
    <row r="9" spans="1:11" s="1353" customFormat="1" ht="15" customHeight="1">
      <c r="A9" s="1351"/>
      <c r="B9" s="1351"/>
      <c r="C9" s="1352"/>
      <c r="E9" s="1354" t="s">
        <v>1878</v>
      </c>
      <c r="F9" s="1355"/>
      <c r="G9" s="1356" t="s">
        <v>1879</v>
      </c>
      <c r="H9" s="1350"/>
      <c r="I9" s="1356" t="s">
        <v>1880</v>
      </c>
      <c r="K9" s="1357"/>
    </row>
    <row r="10" spans="1:11">
      <c r="A10" s="1340" t="s">
        <v>1585</v>
      </c>
      <c r="B10" s="1340"/>
      <c r="C10" s="1333" t="s">
        <v>1881</v>
      </c>
      <c r="E10" s="1358" t="s">
        <v>1882</v>
      </c>
      <c r="F10" s="1350"/>
      <c r="G10" s="1358" t="s">
        <v>1883</v>
      </c>
      <c r="H10" s="1350"/>
      <c r="I10" s="1358" t="s">
        <v>1882</v>
      </c>
    </row>
    <row r="11" spans="1:11">
      <c r="A11" s="1335"/>
      <c r="B11" s="1335"/>
      <c r="C11" s="1359" t="s">
        <v>1884</v>
      </c>
      <c r="D11" s="1359"/>
      <c r="E11" s="1413">
        <f>Application!BN635+Application!BN644+Application!CS658</f>
        <v>88</v>
      </c>
      <c r="G11" s="1360">
        <v>0.9</v>
      </c>
      <c r="H11" s="1361"/>
      <c r="I11" s="1362">
        <f>E11*G11</f>
        <v>79.2</v>
      </c>
      <c r="J11" s="1353"/>
      <c r="K11" s="1357"/>
    </row>
    <row r="12" spans="1:11">
      <c r="A12" s="1335"/>
      <c r="B12" s="1335"/>
      <c r="C12" s="1353" t="s">
        <v>1885</v>
      </c>
      <c r="D12" s="1353"/>
      <c r="E12" s="1413">
        <f>Application!BS635+Application!BS644+Application!CX658</f>
        <v>0</v>
      </c>
      <c r="G12" s="1360">
        <v>1</v>
      </c>
      <c r="H12" s="1361"/>
      <c r="I12" s="1362">
        <f>E12*G12</f>
        <v>0</v>
      </c>
      <c r="J12" s="1353"/>
    </row>
    <row r="13" spans="1:11">
      <c r="A13" s="1335"/>
      <c r="B13" s="1335"/>
      <c r="C13" s="1353" t="s">
        <v>1886</v>
      </c>
      <c r="D13" s="1353"/>
      <c r="E13" s="1413">
        <f>Application!BX635+Application!BX644+Application!DC658</f>
        <v>1</v>
      </c>
      <c r="G13" s="1360">
        <v>1.25</v>
      </c>
      <c r="H13" s="1361"/>
      <c r="I13" s="1362">
        <f>E13*G13</f>
        <v>1.25</v>
      </c>
      <c r="J13" s="1353"/>
    </row>
    <row r="14" spans="1:11">
      <c r="A14" s="1335"/>
      <c r="B14" s="1335"/>
      <c r="C14" s="1353" t="s">
        <v>1887</v>
      </c>
      <c r="D14" s="1353"/>
      <c r="E14" s="1413">
        <f>Application!CC635+Application!CC644+Application!DH658</f>
        <v>0</v>
      </c>
      <c r="G14" s="1360">
        <f>1.5+0.25*0</f>
        <v>1.5</v>
      </c>
      <c r="H14" s="1361"/>
      <c r="I14" s="1362">
        <f>IF(E14/E16&lt;=30%,E14*G14,TRUNC(0.3*E16)*G14+(E14-TRUNC(0.3*E16))*G13)</f>
        <v>0</v>
      </c>
      <c r="J14" s="1353"/>
    </row>
    <row r="15" spans="1:11">
      <c r="A15" s="1335"/>
      <c r="B15" s="1335"/>
      <c r="C15" s="1353" t="s">
        <v>1888</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89</v>
      </c>
      <c r="G16" s="1336"/>
      <c r="I16" s="1417">
        <f>SUM(I11:I15)</f>
        <v>80.45</v>
      </c>
    </row>
    <row r="17" spans="1:9">
      <c r="A17" s="1335"/>
      <c r="B17" s="1335"/>
      <c r="E17" s="1336"/>
      <c r="I17" s="1364"/>
    </row>
    <row r="18" spans="1:9">
      <c r="A18" s="1340" t="s">
        <v>1588</v>
      </c>
      <c r="B18" s="1340"/>
      <c r="C18" s="1365" t="s">
        <v>1889</v>
      </c>
      <c r="D18" s="1337"/>
      <c r="E18" s="1366">
        <f>E7/I16</f>
        <v>192407.52302290843</v>
      </c>
      <c r="F18" s="1367"/>
      <c r="G18" s="1368"/>
      <c r="H18" s="1369"/>
      <c r="I18" s="1364"/>
    </row>
    <row r="21" spans="1:9" ht="14.25" customHeight="1">
      <c r="A21" s="3269" t="s">
        <v>2178</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4" spans="1:9">
      <c r="A24" s="3269"/>
      <c r="B24" s="3269"/>
      <c r="C24" s="3269"/>
      <c r="D24" s="3269"/>
      <c r="E24" s="3269"/>
      <c r="F24" s="3269"/>
      <c r="G24" s="3269"/>
      <c r="H24" s="3269"/>
      <c r="I24" s="3269"/>
    </row>
    <row r="26" spans="1:9" ht="20.25" customHeight="1">
      <c r="A26" s="1333"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0" sqref="AB50:AF50"/>
    </sheetView>
  </sheetViews>
  <sheetFormatPr defaultColWidth="0" defaultRowHeight="0" customHeight="1" zeroHeight="1"/>
  <cols>
    <col min="1" max="1" width="1.453125" style="789" customWidth="1"/>
    <col min="2" max="2" width="0.81640625" style="789" customWidth="1"/>
    <col min="3" max="18" width="2.453125" style="789" customWidth="1"/>
    <col min="19" max="19" width="4" style="789" customWidth="1"/>
    <col min="20" max="39" width="2.6328125" style="789" customWidth="1"/>
    <col min="40" max="40" width="1.453125" style="789" customWidth="1"/>
    <col min="41" max="76" width="2.453125" style="789" hidden="1"/>
    <col min="77" max="256" width="2.453125" style="616" hidden="1"/>
    <col min="257" max="257" width="1.453125" style="616" hidden="1" customWidth="1"/>
    <col min="258" max="258" width="0.81640625" style="616" hidden="1" customWidth="1"/>
    <col min="259" max="274" width="2.453125" style="616" hidden="1" customWidth="1"/>
    <col min="275" max="275" width="4" style="616" hidden="1" customWidth="1"/>
    <col min="276" max="295" width="2.453125" style="616" hidden="1" customWidth="1"/>
    <col min="296" max="296" width="1.453125" style="616" hidden="1" customWidth="1"/>
    <col min="297" max="512" width="2.453125" style="616" hidden="1"/>
    <col min="513" max="513" width="1.453125" style="616" hidden="1" customWidth="1"/>
    <col min="514" max="514" width="0.81640625" style="616" hidden="1" customWidth="1"/>
    <col min="515" max="530" width="2.453125" style="616" hidden="1" customWidth="1"/>
    <col min="531" max="531" width="4" style="616" hidden="1" customWidth="1"/>
    <col min="532" max="551" width="2.453125" style="616" hidden="1" customWidth="1"/>
    <col min="552" max="552" width="1.453125" style="616" hidden="1" customWidth="1"/>
    <col min="553" max="768" width="2.453125" style="616" hidden="1"/>
    <col min="769" max="769" width="1.453125" style="616" hidden="1" customWidth="1"/>
    <col min="770" max="770" width="0.81640625" style="616" hidden="1" customWidth="1"/>
    <col min="771" max="786" width="2.453125" style="616" hidden="1" customWidth="1"/>
    <col min="787" max="787" width="4" style="616" hidden="1" customWidth="1"/>
    <col min="788" max="807" width="2.453125" style="616" hidden="1" customWidth="1"/>
    <col min="808" max="808" width="1.453125" style="616" hidden="1" customWidth="1"/>
    <col min="809" max="1024" width="2.453125" style="616" hidden="1"/>
    <col min="1025" max="1025" width="1.453125" style="616" hidden="1" customWidth="1"/>
    <col min="1026" max="1026" width="0.81640625" style="616" hidden="1" customWidth="1"/>
    <col min="1027" max="1042" width="2.453125" style="616" hidden="1" customWidth="1"/>
    <col min="1043" max="1043" width="4" style="616" hidden="1" customWidth="1"/>
    <col min="1044" max="1063" width="2.453125" style="616" hidden="1" customWidth="1"/>
    <col min="1064" max="1064" width="1.453125" style="616" hidden="1" customWidth="1"/>
    <col min="1065" max="1280" width="2.453125" style="616" hidden="1"/>
    <col min="1281" max="1281" width="1.453125" style="616" hidden="1" customWidth="1"/>
    <col min="1282" max="1282" width="0.81640625" style="616" hidden="1" customWidth="1"/>
    <col min="1283" max="1298" width="2.453125" style="616" hidden="1" customWidth="1"/>
    <col min="1299" max="1299" width="4" style="616" hidden="1" customWidth="1"/>
    <col min="1300" max="1319" width="2.453125" style="616" hidden="1" customWidth="1"/>
    <col min="1320" max="1320" width="1.453125" style="616" hidden="1" customWidth="1"/>
    <col min="1321" max="1536" width="2.453125" style="616" hidden="1"/>
    <col min="1537" max="1537" width="1.453125" style="616" hidden="1" customWidth="1"/>
    <col min="1538" max="1538" width="0.81640625" style="616" hidden="1" customWidth="1"/>
    <col min="1539" max="1554" width="2.453125" style="616" hidden="1" customWidth="1"/>
    <col min="1555" max="1555" width="4" style="616" hidden="1" customWidth="1"/>
    <col min="1556" max="1575" width="2.453125" style="616" hidden="1" customWidth="1"/>
    <col min="1576" max="1576" width="1.453125" style="616" hidden="1" customWidth="1"/>
    <col min="1577" max="1792" width="2.453125" style="616" hidden="1"/>
    <col min="1793" max="1793" width="1.453125" style="616" hidden="1" customWidth="1"/>
    <col min="1794" max="1794" width="0.81640625" style="616" hidden="1" customWidth="1"/>
    <col min="1795" max="1810" width="2.453125" style="616" hidden="1" customWidth="1"/>
    <col min="1811" max="1811" width="4" style="616" hidden="1" customWidth="1"/>
    <col min="1812" max="1831" width="2.453125" style="616" hidden="1" customWidth="1"/>
    <col min="1832" max="1832" width="1.453125" style="616" hidden="1" customWidth="1"/>
    <col min="1833" max="2048" width="2.453125" style="616" hidden="1"/>
    <col min="2049" max="2049" width="1.453125" style="616" hidden="1" customWidth="1"/>
    <col min="2050" max="2050" width="0.81640625" style="616" hidden="1" customWidth="1"/>
    <col min="2051" max="2066" width="2.453125" style="616" hidden="1" customWidth="1"/>
    <col min="2067" max="2067" width="4" style="616" hidden="1" customWidth="1"/>
    <col min="2068" max="2087" width="2.453125" style="616" hidden="1" customWidth="1"/>
    <col min="2088" max="2088" width="1.453125" style="616" hidden="1" customWidth="1"/>
    <col min="2089" max="2304" width="2.453125" style="616" hidden="1"/>
    <col min="2305" max="2305" width="1.453125" style="616" hidden="1" customWidth="1"/>
    <col min="2306" max="2306" width="0.81640625" style="616" hidden="1" customWidth="1"/>
    <col min="2307" max="2322" width="2.453125" style="616" hidden="1" customWidth="1"/>
    <col min="2323" max="2323" width="4" style="616" hidden="1" customWidth="1"/>
    <col min="2324" max="2343" width="2.453125" style="616" hidden="1" customWidth="1"/>
    <col min="2344" max="2344" width="1.453125" style="616" hidden="1" customWidth="1"/>
    <col min="2345" max="2560" width="2.453125" style="616" hidden="1"/>
    <col min="2561" max="2561" width="1.453125" style="616" hidden="1" customWidth="1"/>
    <col min="2562" max="2562" width="0.81640625" style="616" hidden="1" customWidth="1"/>
    <col min="2563" max="2578" width="2.453125" style="616" hidden="1" customWidth="1"/>
    <col min="2579" max="2579" width="4" style="616" hidden="1" customWidth="1"/>
    <col min="2580" max="2599" width="2.453125" style="616" hidden="1" customWidth="1"/>
    <col min="2600" max="2600" width="1.453125" style="616" hidden="1" customWidth="1"/>
    <col min="2601" max="2816" width="2.453125" style="616" hidden="1"/>
    <col min="2817" max="2817" width="1.453125" style="616" hidden="1" customWidth="1"/>
    <col min="2818" max="2818" width="0.81640625" style="616" hidden="1" customWidth="1"/>
    <col min="2819" max="2834" width="2.453125" style="616" hidden="1" customWidth="1"/>
    <col min="2835" max="2835" width="4" style="616" hidden="1" customWidth="1"/>
    <col min="2836" max="2855" width="2.453125" style="616" hidden="1" customWidth="1"/>
    <col min="2856" max="2856" width="1.453125" style="616" hidden="1" customWidth="1"/>
    <col min="2857" max="3072" width="2.453125" style="616" hidden="1"/>
    <col min="3073" max="3073" width="1.453125" style="616" hidden="1" customWidth="1"/>
    <col min="3074" max="3074" width="0.81640625" style="616" hidden="1" customWidth="1"/>
    <col min="3075" max="3090" width="2.453125" style="616" hidden="1" customWidth="1"/>
    <col min="3091" max="3091" width="4" style="616" hidden="1" customWidth="1"/>
    <col min="3092" max="3111" width="2.453125" style="616" hidden="1" customWidth="1"/>
    <col min="3112" max="3112" width="1.453125" style="616" hidden="1" customWidth="1"/>
    <col min="3113" max="3328" width="2.453125" style="616" hidden="1"/>
    <col min="3329" max="3329" width="1.453125" style="616" hidden="1" customWidth="1"/>
    <col min="3330" max="3330" width="0.81640625" style="616" hidden="1" customWidth="1"/>
    <col min="3331" max="3346" width="2.453125" style="616" hidden="1" customWidth="1"/>
    <col min="3347" max="3347" width="4" style="616" hidden="1" customWidth="1"/>
    <col min="3348" max="3367" width="2.453125" style="616" hidden="1" customWidth="1"/>
    <col min="3368" max="3368" width="1.453125" style="616" hidden="1" customWidth="1"/>
    <col min="3369" max="3584" width="2.453125" style="616" hidden="1"/>
    <col min="3585" max="3585" width="1.453125" style="616" hidden="1" customWidth="1"/>
    <col min="3586" max="3586" width="0.81640625" style="616" hidden="1" customWidth="1"/>
    <col min="3587" max="3602" width="2.453125" style="616" hidden="1" customWidth="1"/>
    <col min="3603" max="3603" width="4" style="616" hidden="1" customWidth="1"/>
    <col min="3604" max="3623" width="2.453125" style="616" hidden="1" customWidth="1"/>
    <col min="3624" max="3624" width="1.453125" style="616" hidden="1" customWidth="1"/>
    <col min="3625" max="3840" width="2.453125" style="616" hidden="1"/>
    <col min="3841" max="3841" width="1.453125" style="616" hidden="1" customWidth="1"/>
    <col min="3842" max="3842" width="0.81640625" style="616" hidden="1" customWidth="1"/>
    <col min="3843" max="3858" width="2.453125" style="616" hidden="1" customWidth="1"/>
    <col min="3859" max="3859" width="4" style="616" hidden="1" customWidth="1"/>
    <col min="3860" max="3879" width="2.453125" style="616" hidden="1" customWidth="1"/>
    <col min="3880" max="3880" width="1.453125" style="616" hidden="1" customWidth="1"/>
    <col min="3881" max="4096" width="2.453125" style="616" hidden="1"/>
    <col min="4097" max="4097" width="1.453125" style="616" hidden="1" customWidth="1"/>
    <col min="4098" max="4098" width="0.81640625" style="616" hidden="1" customWidth="1"/>
    <col min="4099" max="4114" width="2.453125" style="616" hidden="1" customWidth="1"/>
    <col min="4115" max="4115" width="4" style="616" hidden="1" customWidth="1"/>
    <col min="4116" max="4135" width="2.453125" style="616" hidden="1" customWidth="1"/>
    <col min="4136" max="4136" width="1.453125" style="616" hidden="1" customWidth="1"/>
    <col min="4137" max="4352" width="2.453125" style="616" hidden="1"/>
    <col min="4353" max="4353" width="1.453125" style="616" hidden="1" customWidth="1"/>
    <col min="4354" max="4354" width="0.81640625" style="616" hidden="1" customWidth="1"/>
    <col min="4355" max="4370" width="2.453125" style="616" hidden="1" customWidth="1"/>
    <col min="4371" max="4371" width="4" style="616" hidden="1" customWidth="1"/>
    <col min="4372" max="4391" width="2.453125" style="616" hidden="1" customWidth="1"/>
    <col min="4392" max="4392" width="1.453125" style="616" hidden="1" customWidth="1"/>
    <col min="4393" max="4608" width="2.453125" style="616" hidden="1"/>
    <col min="4609" max="4609" width="1.453125" style="616" hidden="1" customWidth="1"/>
    <col min="4610" max="4610" width="0.81640625" style="616" hidden="1" customWidth="1"/>
    <col min="4611" max="4626" width="2.453125" style="616" hidden="1" customWidth="1"/>
    <col min="4627" max="4627" width="4" style="616" hidden="1" customWidth="1"/>
    <col min="4628" max="4647" width="2.453125" style="616" hidden="1" customWidth="1"/>
    <col min="4648" max="4648" width="1.453125" style="616" hidden="1" customWidth="1"/>
    <col min="4649" max="4864" width="2.453125" style="616" hidden="1"/>
    <col min="4865" max="4865" width="1.453125" style="616" hidden="1" customWidth="1"/>
    <col min="4866" max="4866" width="0.81640625" style="616" hidden="1" customWidth="1"/>
    <col min="4867" max="4882" width="2.453125" style="616" hidden="1" customWidth="1"/>
    <col min="4883" max="4883" width="4" style="616" hidden="1" customWidth="1"/>
    <col min="4884" max="4903" width="2.453125" style="616" hidden="1" customWidth="1"/>
    <col min="4904" max="4904" width="1.453125" style="616" hidden="1" customWidth="1"/>
    <col min="4905" max="5120" width="2.453125" style="616" hidden="1"/>
    <col min="5121" max="5121" width="1.453125" style="616" hidden="1" customWidth="1"/>
    <col min="5122" max="5122" width="0.81640625" style="616" hidden="1" customWidth="1"/>
    <col min="5123" max="5138" width="2.453125" style="616" hidden="1" customWidth="1"/>
    <col min="5139" max="5139" width="4" style="616" hidden="1" customWidth="1"/>
    <col min="5140" max="5159" width="2.453125" style="616" hidden="1" customWidth="1"/>
    <col min="5160" max="5160" width="1.453125" style="616" hidden="1" customWidth="1"/>
    <col min="5161" max="5376" width="2.453125" style="616" hidden="1"/>
    <col min="5377" max="5377" width="1.453125" style="616" hidden="1" customWidth="1"/>
    <col min="5378" max="5378" width="0.81640625" style="616" hidden="1" customWidth="1"/>
    <col min="5379" max="5394" width="2.453125" style="616" hidden="1" customWidth="1"/>
    <col min="5395" max="5395" width="4" style="616" hidden="1" customWidth="1"/>
    <col min="5396" max="5415" width="2.453125" style="616" hidden="1" customWidth="1"/>
    <col min="5416" max="5416" width="1.453125" style="616" hidden="1" customWidth="1"/>
    <col min="5417" max="5632" width="2.453125" style="616" hidden="1"/>
    <col min="5633" max="5633" width="1.453125" style="616" hidden="1" customWidth="1"/>
    <col min="5634" max="5634" width="0.81640625" style="616" hidden="1" customWidth="1"/>
    <col min="5635" max="5650" width="2.453125" style="616" hidden="1" customWidth="1"/>
    <col min="5651" max="5651" width="4" style="616" hidden="1" customWidth="1"/>
    <col min="5652" max="5671" width="2.453125" style="616" hidden="1" customWidth="1"/>
    <col min="5672" max="5672" width="1.453125" style="616" hidden="1" customWidth="1"/>
    <col min="5673" max="5888" width="2.453125" style="616" hidden="1"/>
    <col min="5889" max="5889" width="1.453125" style="616" hidden="1" customWidth="1"/>
    <col min="5890" max="5890" width="0.81640625" style="616" hidden="1" customWidth="1"/>
    <col min="5891" max="5906" width="2.453125" style="616" hidden="1" customWidth="1"/>
    <col min="5907" max="5907" width="4" style="616" hidden="1" customWidth="1"/>
    <col min="5908" max="5927" width="2.453125" style="616" hidden="1" customWidth="1"/>
    <col min="5928" max="5928" width="1.453125" style="616" hidden="1" customWidth="1"/>
    <col min="5929" max="6144" width="2.453125" style="616" hidden="1"/>
    <col min="6145" max="6145" width="1.453125" style="616" hidden="1" customWidth="1"/>
    <col min="6146" max="6146" width="0.81640625" style="616" hidden="1" customWidth="1"/>
    <col min="6147" max="6162" width="2.453125" style="616" hidden="1" customWidth="1"/>
    <col min="6163" max="6163" width="4" style="616" hidden="1" customWidth="1"/>
    <col min="6164" max="6183" width="2.453125" style="616" hidden="1" customWidth="1"/>
    <col min="6184" max="6184" width="1.453125" style="616" hidden="1" customWidth="1"/>
    <col min="6185" max="6400" width="2.453125" style="616" hidden="1"/>
    <col min="6401" max="6401" width="1.453125" style="616" hidden="1" customWidth="1"/>
    <col min="6402" max="6402" width="0.81640625" style="616" hidden="1" customWidth="1"/>
    <col min="6403" max="6418" width="2.453125" style="616" hidden="1" customWidth="1"/>
    <col min="6419" max="6419" width="4" style="616" hidden="1" customWidth="1"/>
    <col min="6420" max="6439" width="2.453125" style="616" hidden="1" customWidth="1"/>
    <col min="6440" max="6440" width="1.453125" style="616" hidden="1" customWidth="1"/>
    <col min="6441" max="6656" width="2.453125" style="616" hidden="1"/>
    <col min="6657" max="6657" width="1.453125" style="616" hidden="1" customWidth="1"/>
    <col min="6658" max="6658" width="0.81640625" style="616" hidden="1" customWidth="1"/>
    <col min="6659" max="6674" width="2.453125" style="616" hidden="1" customWidth="1"/>
    <col min="6675" max="6675" width="4" style="616" hidden="1" customWidth="1"/>
    <col min="6676" max="6695" width="2.453125" style="616" hidden="1" customWidth="1"/>
    <col min="6696" max="6696" width="1.453125" style="616" hidden="1" customWidth="1"/>
    <col min="6697" max="6912" width="2.453125" style="616" hidden="1"/>
    <col min="6913" max="6913" width="1.453125" style="616" hidden="1" customWidth="1"/>
    <col min="6914" max="6914" width="0.81640625" style="616" hidden="1" customWidth="1"/>
    <col min="6915" max="6930" width="2.453125" style="616" hidden="1" customWidth="1"/>
    <col min="6931" max="6931" width="4" style="616" hidden="1" customWidth="1"/>
    <col min="6932" max="6951" width="2.453125" style="616" hidden="1" customWidth="1"/>
    <col min="6952" max="6952" width="1.453125" style="616" hidden="1" customWidth="1"/>
    <col min="6953" max="7168" width="2.453125" style="616" hidden="1"/>
    <col min="7169" max="7169" width="1.453125" style="616" hidden="1" customWidth="1"/>
    <col min="7170" max="7170" width="0.81640625" style="616" hidden="1" customWidth="1"/>
    <col min="7171" max="7186" width="2.453125" style="616" hidden="1" customWidth="1"/>
    <col min="7187" max="7187" width="4" style="616" hidden="1" customWidth="1"/>
    <col min="7188" max="7207" width="2.453125" style="616" hidden="1" customWidth="1"/>
    <col min="7208" max="7208" width="1.453125" style="616" hidden="1" customWidth="1"/>
    <col min="7209" max="7424" width="2.453125" style="616" hidden="1"/>
    <col min="7425" max="7425" width="1.453125" style="616" hidden="1" customWidth="1"/>
    <col min="7426" max="7426" width="0.81640625" style="616" hidden="1" customWidth="1"/>
    <col min="7427" max="7442" width="2.453125" style="616" hidden="1" customWidth="1"/>
    <col min="7443" max="7443" width="4" style="616" hidden="1" customWidth="1"/>
    <col min="7444" max="7463" width="2.453125" style="616" hidden="1" customWidth="1"/>
    <col min="7464" max="7464" width="1.453125" style="616" hidden="1" customWidth="1"/>
    <col min="7465" max="7680" width="2.453125" style="616" hidden="1"/>
    <col min="7681" max="7681" width="1.453125" style="616" hidden="1" customWidth="1"/>
    <col min="7682" max="7682" width="0.81640625" style="616" hidden="1" customWidth="1"/>
    <col min="7683" max="7698" width="2.453125" style="616" hidden="1" customWidth="1"/>
    <col min="7699" max="7699" width="4" style="616" hidden="1" customWidth="1"/>
    <col min="7700" max="7719" width="2.453125" style="616" hidden="1" customWidth="1"/>
    <col min="7720" max="7720" width="1.453125" style="616" hidden="1" customWidth="1"/>
    <col min="7721" max="7936" width="2.453125" style="616" hidden="1"/>
    <col min="7937" max="7937" width="1.453125" style="616" hidden="1" customWidth="1"/>
    <col min="7938" max="7938" width="0.81640625" style="616" hidden="1" customWidth="1"/>
    <col min="7939" max="7954" width="2.453125" style="616" hidden="1" customWidth="1"/>
    <col min="7955" max="7955" width="4" style="616" hidden="1" customWidth="1"/>
    <col min="7956" max="7975" width="2.453125" style="616" hidden="1" customWidth="1"/>
    <col min="7976" max="7976" width="1.453125" style="616" hidden="1" customWidth="1"/>
    <col min="7977" max="8192" width="2.453125" style="616" hidden="1"/>
    <col min="8193" max="8193" width="1.453125" style="616" hidden="1" customWidth="1"/>
    <col min="8194" max="8194" width="0.81640625" style="616" hidden="1" customWidth="1"/>
    <col min="8195" max="8210" width="2.453125" style="616" hidden="1" customWidth="1"/>
    <col min="8211" max="8211" width="4" style="616" hidden="1" customWidth="1"/>
    <col min="8212" max="8231" width="2.453125" style="616" hidden="1" customWidth="1"/>
    <col min="8232" max="8232" width="1.453125" style="616" hidden="1" customWidth="1"/>
    <col min="8233" max="8448" width="2.453125" style="616" hidden="1"/>
    <col min="8449" max="8449" width="1.453125" style="616" hidden="1" customWidth="1"/>
    <col min="8450" max="8450" width="0.81640625" style="616" hidden="1" customWidth="1"/>
    <col min="8451" max="8466" width="2.453125" style="616" hidden="1" customWidth="1"/>
    <col min="8467" max="8467" width="4" style="616" hidden="1" customWidth="1"/>
    <col min="8468" max="8487" width="2.453125" style="616" hidden="1" customWidth="1"/>
    <col min="8488" max="8488" width="1.453125" style="616" hidden="1" customWidth="1"/>
    <col min="8489" max="8704" width="2.453125" style="616" hidden="1"/>
    <col min="8705" max="8705" width="1.453125" style="616" hidden="1" customWidth="1"/>
    <col min="8706" max="8706" width="0.81640625" style="616" hidden="1" customWidth="1"/>
    <col min="8707" max="8722" width="2.453125" style="616" hidden="1" customWidth="1"/>
    <col min="8723" max="8723" width="4" style="616" hidden="1" customWidth="1"/>
    <col min="8724" max="8743" width="2.453125" style="616" hidden="1" customWidth="1"/>
    <col min="8744" max="8744" width="1.453125" style="616" hidden="1" customWidth="1"/>
    <col min="8745" max="8960" width="2.453125" style="616" hidden="1"/>
    <col min="8961" max="8961" width="1.453125" style="616" hidden="1" customWidth="1"/>
    <col min="8962" max="8962" width="0.81640625" style="616" hidden="1" customWidth="1"/>
    <col min="8963" max="8978" width="2.453125" style="616" hidden="1" customWidth="1"/>
    <col min="8979" max="8979" width="4" style="616" hidden="1" customWidth="1"/>
    <col min="8980" max="8999" width="2.453125" style="616" hidden="1" customWidth="1"/>
    <col min="9000" max="9000" width="1.453125" style="616" hidden="1" customWidth="1"/>
    <col min="9001" max="9216" width="2.453125" style="616" hidden="1"/>
    <col min="9217" max="9217" width="1.453125" style="616" hidden="1" customWidth="1"/>
    <col min="9218" max="9218" width="0.81640625" style="616" hidden="1" customWidth="1"/>
    <col min="9219" max="9234" width="2.453125" style="616" hidden="1" customWidth="1"/>
    <col min="9235" max="9235" width="4" style="616" hidden="1" customWidth="1"/>
    <col min="9236" max="9255" width="2.453125" style="616" hidden="1" customWidth="1"/>
    <col min="9256" max="9256" width="1.453125" style="616" hidden="1" customWidth="1"/>
    <col min="9257" max="9472" width="2.453125" style="616" hidden="1"/>
    <col min="9473" max="9473" width="1.453125" style="616" hidden="1" customWidth="1"/>
    <col min="9474" max="9474" width="0.81640625" style="616" hidden="1" customWidth="1"/>
    <col min="9475" max="9490" width="2.453125" style="616" hidden="1" customWidth="1"/>
    <col min="9491" max="9491" width="4" style="616" hidden="1" customWidth="1"/>
    <col min="9492" max="9511" width="2.453125" style="616" hidden="1" customWidth="1"/>
    <col min="9512" max="9512" width="1.453125" style="616" hidden="1" customWidth="1"/>
    <col min="9513" max="9728" width="2.453125" style="616" hidden="1"/>
    <col min="9729" max="9729" width="1.453125" style="616" hidden="1" customWidth="1"/>
    <col min="9730" max="9730" width="0.81640625" style="616" hidden="1" customWidth="1"/>
    <col min="9731" max="9746" width="2.453125" style="616" hidden="1" customWidth="1"/>
    <col min="9747" max="9747" width="4" style="616" hidden="1" customWidth="1"/>
    <col min="9748" max="9767" width="2.453125" style="616" hidden="1" customWidth="1"/>
    <col min="9768" max="9768" width="1.453125" style="616" hidden="1" customWidth="1"/>
    <col min="9769" max="9984" width="2.453125" style="616" hidden="1"/>
    <col min="9985" max="9985" width="1.453125" style="616" hidden="1" customWidth="1"/>
    <col min="9986" max="9986" width="0.81640625" style="616" hidden="1" customWidth="1"/>
    <col min="9987" max="10002" width="2.453125" style="616" hidden="1" customWidth="1"/>
    <col min="10003" max="10003" width="4" style="616" hidden="1" customWidth="1"/>
    <col min="10004" max="10023" width="2.453125" style="616" hidden="1" customWidth="1"/>
    <col min="10024" max="10024" width="1.453125" style="616" hidden="1" customWidth="1"/>
    <col min="10025" max="10240" width="2.453125" style="616" hidden="1"/>
    <col min="10241" max="10241" width="1.453125" style="616" hidden="1" customWidth="1"/>
    <col min="10242" max="10242" width="0.81640625" style="616" hidden="1" customWidth="1"/>
    <col min="10243" max="10258" width="2.453125" style="616" hidden="1" customWidth="1"/>
    <col min="10259" max="10259" width="4" style="616" hidden="1" customWidth="1"/>
    <col min="10260" max="10279" width="2.453125" style="616" hidden="1" customWidth="1"/>
    <col min="10280" max="10280" width="1.453125" style="616" hidden="1" customWidth="1"/>
    <col min="10281" max="10496" width="2.453125" style="616" hidden="1"/>
    <col min="10497" max="10497" width="1.453125" style="616" hidden="1" customWidth="1"/>
    <col min="10498" max="10498" width="0.81640625" style="616" hidden="1" customWidth="1"/>
    <col min="10499" max="10514" width="2.453125" style="616" hidden="1" customWidth="1"/>
    <col min="10515" max="10515" width="4" style="616" hidden="1" customWidth="1"/>
    <col min="10516" max="10535" width="2.453125" style="616" hidden="1" customWidth="1"/>
    <col min="10536" max="10536" width="1.453125" style="616" hidden="1" customWidth="1"/>
    <col min="10537" max="10752" width="2.453125" style="616" hidden="1"/>
    <col min="10753" max="10753" width="1.453125" style="616" hidden="1" customWidth="1"/>
    <col min="10754" max="10754" width="0.81640625" style="616" hidden="1" customWidth="1"/>
    <col min="10755" max="10770" width="2.453125" style="616" hidden="1" customWidth="1"/>
    <col min="10771" max="10771" width="4" style="616" hidden="1" customWidth="1"/>
    <col min="10772" max="10791" width="2.453125" style="616" hidden="1" customWidth="1"/>
    <col min="10792" max="10792" width="1.453125" style="616" hidden="1" customWidth="1"/>
    <col min="10793" max="11008" width="2.453125" style="616" hidden="1"/>
    <col min="11009" max="11009" width="1.453125" style="616" hidden="1" customWidth="1"/>
    <col min="11010" max="11010" width="0.81640625" style="616" hidden="1" customWidth="1"/>
    <col min="11011" max="11026" width="2.453125" style="616" hidden="1" customWidth="1"/>
    <col min="11027" max="11027" width="4" style="616" hidden="1" customWidth="1"/>
    <col min="11028" max="11047" width="2.453125" style="616" hidden="1" customWidth="1"/>
    <col min="11048" max="11048" width="1.453125" style="616" hidden="1" customWidth="1"/>
    <col min="11049" max="11264" width="2.453125" style="616" hidden="1"/>
    <col min="11265" max="11265" width="1.453125" style="616" hidden="1" customWidth="1"/>
    <col min="11266" max="11266" width="0.81640625" style="616" hidden="1" customWidth="1"/>
    <col min="11267" max="11282" width="2.453125" style="616" hidden="1" customWidth="1"/>
    <col min="11283" max="11283" width="4" style="616" hidden="1" customWidth="1"/>
    <col min="11284" max="11303" width="2.453125" style="616" hidden="1" customWidth="1"/>
    <col min="11304" max="11304" width="1.453125" style="616" hidden="1" customWidth="1"/>
    <col min="11305" max="11520" width="2.453125" style="616" hidden="1"/>
    <col min="11521" max="11521" width="1.453125" style="616" hidden="1" customWidth="1"/>
    <col min="11522" max="11522" width="0.81640625" style="616" hidden="1" customWidth="1"/>
    <col min="11523" max="11538" width="2.453125" style="616" hidden="1" customWidth="1"/>
    <col min="11539" max="11539" width="4" style="616" hidden="1" customWidth="1"/>
    <col min="11540" max="11559" width="2.453125" style="616" hidden="1" customWidth="1"/>
    <col min="11560" max="11560" width="1.453125" style="616" hidden="1" customWidth="1"/>
    <col min="11561" max="11776" width="2.453125" style="616" hidden="1"/>
    <col min="11777" max="11777" width="1.453125" style="616" hidden="1" customWidth="1"/>
    <col min="11778" max="11778" width="0.81640625" style="616" hidden="1" customWidth="1"/>
    <col min="11779" max="11794" width="2.453125" style="616" hidden="1" customWidth="1"/>
    <col min="11795" max="11795" width="4" style="616" hidden="1" customWidth="1"/>
    <col min="11796" max="11815" width="2.453125" style="616" hidden="1" customWidth="1"/>
    <col min="11816" max="11816" width="1.453125" style="616" hidden="1" customWidth="1"/>
    <col min="11817" max="12032" width="2.453125" style="616" hidden="1"/>
    <col min="12033" max="12033" width="1.453125" style="616" hidden="1" customWidth="1"/>
    <col min="12034" max="12034" width="0.81640625" style="616" hidden="1" customWidth="1"/>
    <col min="12035" max="12050" width="2.453125" style="616" hidden="1" customWidth="1"/>
    <col min="12051" max="12051" width="4" style="616" hidden="1" customWidth="1"/>
    <col min="12052" max="12071" width="2.453125" style="616" hidden="1" customWidth="1"/>
    <col min="12072" max="12072" width="1.453125" style="616" hidden="1" customWidth="1"/>
    <col min="12073" max="12288" width="2.453125" style="616" hidden="1"/>
    <col min="12289" max="12289" width="1.453125" style="616" hidden="1" customWidth="1"/>
    <col min="12290" max="12290" width="0.81640625" style="616" hidden="1" customWidth="1"/>
    <col min="12291" max="12306" width="2.453125" style="616" hidden="1" customWidth="1"/>
    <col min="12307" max="12307" width="4" style="616" hidden="1" customWidth="1"/>
    <col min="12308" max="12327" width="2.453125" style="616" hidden="1" customWidth="1"/>
    <col min="12328" max="12328" width="1.453125" style="616" hidden="1" customWidth="1"/>
    <col min="12329" max="12544" width="2.453125" style="616" hidden="1"/>
    <col min="12545" max="12545" width="1.453125" style="616" hidden="1" customWidth="1"/>
    <col min="12546" max="12546" width="0.81640625" style="616" hidden="1" customWidth="1"/>
    <col min="12547" max="12562" width="2.453125" style="616" hidden="1" customWidth="1"/>
    <col min="12563" max="12563" width="4" style="616" hidden="1" customWidth="1"/>
    <col min="12564" max="12583" width="2.453125" style="616" hidden="1" customWidth="1"/>
    <col min="12584" max="12584" width="1.453125" style="616" hidden="1" customWidth="1"/>
    <col min="12585" max="12800" width="2.453125" style="616" hidden="1"/>
    <col min="12801" max="12801" width="1.453125" style="616" hidden="1" customWidth="1"/>
    <col min="12802" max="12802" width="0.81640625" style="616" hidden="1" customWidth="1"/>
    <col min="12803" max="12818" width="2.453125" style="616" hidden="1" customWidth="1"/>
    <col min="12819" max="12819" width="4" style="616" hidden="1" customWidth="1"/>
    <col min="12820" max="12839" width="2.453125" style="616" hidden="1" customWidth="1"/>
    <col min="12840" max="12840" width="1.453125" style="616" hidden="1" customWidth="1"/>
    <col min="12841" max="13056" width="2.453125" style="616" hidden="1"/>
    <col min="13057" max="13057" width="1.453125" style="616" hidden="1" customWidth="1"/>
    <col min="13058" max="13058" width="0.81640625" style="616" hidden="1" customWidth="1"/>
    <col min="13059" max="13074" width="2.453125" style="616" hidden="1" customWidth="1"/>
    <col min="13075" max="13075" width="4" style="616" hidden="1" customWidth="1"/>
    <col min="13076" max="13095" width="2.453125" style="616" hidden="1" customWidth="1"/>
    <col min="13096" max="13096" width="1.453125" style="616" hidden="1" customWidth="1"/>
    <col min="13097" max="13312" width="2.453125" style="616" hidden="1"/>
    <col min="13313" max="13313" width="1.453125" style="616" hidden="1" customWidth="1"/>
    <col min="13314" max="13314" width="0.81640625" style="616" hidden="1" customWidth="1"/>
    <col min="13315" max="13330" width="2.453125" style="616" hidden="1" customWidth="1"/>
    <col min="13331" max="13331" width="4" style="616" hidden="1" customWidth="1"/>
    <col min="13332" max="13351" width="2.453125" style="616" hidden="1" customWidth="1"/>
    <col min="13352" max="13352" width="1.453125" style="616" hidden="1" customWidth="1"/>
    <col min="13353" max="13568" width="2.453125" style="616" hidden="1"/>
    <col min="13569" max="13569" width="1.453125" style="616" hidden="1" customWidth="1"/>
    <col min="13570" max="13570" width="0.81640625" style="616" hidden="1" customWidth="1"/>
    <col min="13571" max="13586" width="2.453125" style="616" hidden="1" customWidth="1"/>
    <col min="13587" max="13587" width="4" style="616" hidden="1" customWidth="1"/>
    <col min="13588" max="13607" width="2.453125" style="616" hidden="1" customWidth="1"/>
    <col min="13608" max="13608" width="1.453125" style="616" hidden="1" customWidth="1"/>
    <col min="13609" max="13824" width="2.453125" style="616" hidden="1"/>
    <col min="13825" max="13825" width="1.453125" style="616" hidden="1" customWidth="1"/>
    <col min="13826" max="13826" width="0.81640625" style="616" hidden="1" customWidth="1"/>
    <col min="13827" max="13842" width="2.453125" style="616" hidden="1" customWidth="1"/>
    <col min="13843" max="13843" width="4" style="616" hidden="1" customWidth="1"/>
    <col min="13844" max="13863" width="2.453125" style="616" hidden="1" customWidth="1"/>
    <col min="13864" max="13864" width="1.453125" style="616" hidden="1" customWidth="1"/>
    <col min="13865" max="14080" width="2.453125" style="616" hidden="1"/>
    <col min="14081" max="14081" width="1.453125" style="616" hidden="1" customWidth="1"/>
    <col min="14082" max="14082" width="0.81640625" style="616" hidden="1" customWidth="1"/>
    <col min="14083" max="14098" width="2.453125" style="616" hidden="1" customWidth="1"/>
    <col min="14099" max="14099" width="4" style="616" hidden="1" customWidth="1"/>
    <col min="14100" max="14119" width="2.453125" style="616" hidden="1" customWidth="1"/>
    <col min="14120" max="14120" width="1.453125" style="616" hidden="1" customWidth="1"/>
    <col min="14121" max="14336" width="2.453125" style="616" hidden="1"/>
    <col min="14337" max="14337" width="1.453125" style="616" hidden="1" customWidth="1"/>
    <col min="14338" max="14338" width="0.81640625" style="616" hidden="1" customWidth="1"/>
    <col min="14339" max="14354" width="2.453125" style="616" hidden="1" customWidth="1"/>
    <col min="14355" max="14355" width="4" style="616" hidden="1" customWidth="1"/>
    <col min="14356" max="14375" width="2.453125" style="616" hidden="1" customWidth="1"/>
    <col min="14376" max="14376" width="1.453125" style="616" hidden="1" customWidth="1"/>
    <col min="14377" max="14592" width="2.453125" style="616" hidden="1"/>
    <col min="14593" max="14593" width="1.453125" style="616" hidden="1" customWidth="1"/>
    <col min="14594" max="14594" width="0.81640625" style="616" hidden="1" customWidth="1"/>
    <col min="14595" max="14610" width="2.453125" style="616" hidden="1" customWidth="1"/>
    <col min="14611" max="14611" width="4" style="616" hidden="1" customWidth="1"/>
    <col min="14612" max="14631" width="2.453125" style="616" hidden="1" customWidth="1"/>
    <col min="14632" max="14632" width="1.453125" style="616" hidden="1" customWidth="1"/>
    <col min="14633" max="14848" width="2.453125" style="616" hidden="1"/>
    <col min="14849" max="14849" width="1.453125" style="616" hidden="1" customWidth="1"/>
    <col min="14850" max="14850" width="0.81640625" style="616" hidden="1" customWidth="1"/>
    <col min="14851" max="14866" width="2.453125" style="616" hidden="1" customWidth="1"/>
    <col min="14867" max="14867" width="4" style="616" hidden="1" customWidth="1"/>
    <col min="14868" max="14887" width="2.453125" style="616" hidden="1" customWidth="1"/>
    <col min="14888" max="14888" width="1.453125" style="616" hidden="1" customWidth="1"/>
    <col min="14889" max="15104" width="2.453125" style="616" hidden="1"/>
    <col min="15105" max="15105" width="1.453125" style="616" hidden="1" customWidth="1"/>
    <col min="15106" max="15106" width="0.81640625" style="616" hidden="1" customWidth="1"/>
    <col min="15107" max="15122" width="2.453125" style="616" hidden="1" customWidth="1"/>
    <col min="15123" max="15123" width="4" style="616" hidden="1" customWidth="1"/>
    <col min="15124" max="15143" width="2.453125" style="616" hidden="1" customWidth="1"/>
    <col min="15144" max="15144" width="1.453125" style="616" hidden="1" customWidth="1"/>
    <col min="15145" max="15360" width="2.453125" style="616" hidden="1"/>
    <col min="15361" max="15361" width="1.453125" style="616" hidden="1" customWidth="1"/>
    <col min="15362" max="15362" width="0.81640625" style="616" hidden="1" customWidth="1"/>
    <col min="15363" max="15378" width="2.453125" style="616" hidden="1" customWidth="1"/>
    <col min="15379" max="15379" width="4" style="616" hidden="1" customWidth="1"/>
    <col min="15380" max="15399" width="2.453125" style="616" hidden="1" customWidth="1"/>
    <col min="15400" max="15400" width="1.453125" style="616" hidden="1" customWidth="1"/>
    <col min="15401" max="15616" width="2.453125" style="616" hidden="1"/>
    <col min="15617" max="15617" width="1.453125" style="616" hidden="1" customWidth="1"/>
    <col min="15618" max="15618" width="0.81640625" style="616" hidden="1" customWidth="1"/>
    <col min="15619" max="15634" width="2.453125" style="616" hidden="1" customWidth="1"/>
    <col min="15635" max="15635" width="4" style="616" hidden="1" customWidth="1"/>
    <col min="15636" max="15655" width="2.453125" style="616" hidden="1" customWidth="1"/>
    <col min="15656" max="15656" width="1.453125" style="616" hidden="1" customWidth="1"/>
    <col min="15657" max="15872" width="2.453125" style="616" hidden="1"/>
    <col min="15873" max="15873" width="1.453125" style="616" hidden="1" customWidth="1"/>
    <col min="15874" max="15874" width="0.81640625" style="616" hidden="1" customWidth="1"/>
    <col min="15875" max="15890" width="2.453125" style="616" hidden="1" customWidth="1"/>
    <col min="15891" max="15891" width="4" style="616" hidden="1" customWidth="1"/>
    <col min="15892" max="15911" width="2.453125" style="616" hidden="1" customWidth="1"/>
    <col min="15912" max="15912" width="1.453125" style="616" hidden="1" customWidth="1"/>
    <col min="15913" max="16128" width="2.453125" style="616" hidden="1"/>
    <col min="16129" max="16129" width="1.453125" style="616" hidden="1" customWidth="1"/>
    <col min="16130" max="16130" width="0.81640625" style="616" hidden="1" customWidth="1"/>
    <col min="16131" max="16146" width="2.453125" style="616" hidden="1" customWidth="1"/>
    <col min="16147" max="16147" width="4" style="616" hidden="1" customWidth="1"/>
    <col min="16148" max="16167" width="2.453125" style="616" hidden="1" customWidth="1"/>
    <col min="16168" max="16168" width="1.453125" style="616" hidden="1" customWidth="1"/>
    <col min="16169" max="16384" width="2.453125" style="616" hidden="1"/>
  </cols>
  <sheetData>
    <row r="1" spans="1:98" ht="12.75" customHeight="1">
      <c r="A1" s="3312" t="s">
        <v>1520</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13"/>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c r="AC2" s="3313"/>
      <c r="AD2" s="3313"/>
      <c r="AE2" s="3313"/>
      <c r="AF2" s="3313"/>
      <c r="AG2" s="3313"/>
      <c r="AH2" s="3313"/>
      <c r="AI2" s="3313"/>
      <c r="AJ2" s="3313"/>
      <c r="AK2" s="3313"/>
      <c r="AL2" s="3313"/>
      <c r="AM2" s="3313"/>
      <c r="AN2" s="3313"/>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327</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25" customHeight="1">
      <c r="A7" s="616"/>
      <c r="B7" s="622"/>
      <c r="C7" s="623"/>
      <c r="D7" s="623"/>
      <c r="E7" s="623"/>
      <c r="F7" s="623"/>
      <c r="G7" s="623"/>
      <c r="H7" s="623"/>
      <c r="I7" s="623"/>
      <c r="J7" s="623"/>
      <c r="K7" s="623"/>
      <c r="L7" s="623"/>
      <c r="M7" s="623"/>
      <c r="N7" s="623"/>
      <c r="O7" s="623"/>
      <c r="P7" s="623"/>
      <c r="Q7" s="623"/>
      <c r="R7" s="623"/>
      <c r="S7" s="623"/>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4"/>
      <c r="U8" s="3314"/>
      <c r="V8" s="3314"/>
      <c r="W8" s="3314"/>
      <c r="X8" s="3314"/>
      <c r="Y8" s="3314"/>
      <c r="Z8" s="3314"/>
      <c r="AA8" s="3314"/>
      <c r="AB8" s="3314"/>
      <c r="AC8" s="3314"/>
      <c r="AD8" s="3314"/>
      <c r="AE8" s="3314"/>
      <c r="AF8" s="3314"/>
      <c r="AG8" s="3314"/>
      <c r="AH8" s="3314"/>
      <c r="AI8" s="3314"/>
      <c r="AJ8" s="3314"/>
      <c r="AK8" s="3314"/>
      <c r="AL8" s="3314"/>
      <c r="AM8" s="3314"/>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14"/>
      <c r="U9" s="3314"/>
      <c r="V9" s="3314"/>
      <c r="W9" s="3314"/>
      <c r="X9" s="3314"/>
      <c r="Y9" s="3314"/>
      <c r="Z9" s="3314"/>
      <c r="AA9" s="3314"/>
      <c r="AB9" s="3314"/>
      <c r="AC9" s="3314"/>
      <c r="AD9" s="3314"/>
      <c r="AE9" s="3314"/>
      <c r="AF9" s="3314"/>
      <c r="AG9" s="3314"/>
      <c r="AH9" s="3314"/>
      <c r="AI9" s="3314"/>
      <c r="AJ9" s="3314"/>
      <c r="AK9" s="3314"/>
      <c r="AL9" s="3314"/>
      <c r="AM9" s="3314"/>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75" customHeight="1">
      <c r="A10" s="616"/>
      <c r="B10" s="626"/>
      <c r="C10" s="627"/>
      <c r="D10" s="627"/>
      <c r="E10" s="627"/>
      <c r="F10" s="627"/>
      <c r="G10" s="627"/>
      <c r="H10" s="627"/>
      <c r="I10" s="627"/>
      <c r="J10" s="627"/>
      <c r="K10" s="627"/>
      <c r="L10" s="627"/>
      <c r="M10" s="627"/>
      <c r="N10" s="627"/>
      <c r="O10" s="627"/>
      <c r="P10" s="627"/>
      <c r="Q10" s="627"/>
      <c r="R10" s="627"/>
      <c r="S10" s="627"/>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82" t="s">
        <v>392</v>
      </c>
      <c r="C11" s="3283"/>
      <c r="D11" s="3283"/>
      <c r="E11" s="3283"/>
      <c r="F11" s="3283"/>
      <c r="G11" s="3283"/>
      <c r="H11" s="3283"/>
      <c r="I11" s="3283"/>
      <c r="J11" s="3283"/>
      <c r="K11" s="3283"/>
      <c r="L11" s="3283"/>
      <c r="M11" s="3283"/>
      <c r="N11" s="3283"/>
      <c r="O11" s="3283"/>
      <c r="P11" s="3283"/>
      <c r="Q11" s="3283"/>
      <c r="R11" s="3283"/>
      <c r="S11" s="3284"/>
      <c r="T11" s="3315">
        <f>IF('Sources and Basis Breakdown'!F107=0,'Sources and Basis Breakdown'!E107,'Sources and Basis Breakdown'!F107)</f>
        <v>37147003</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07" t="s">
        <v>529</v>
      </c>
      <c r="C12" s="3308"/>
      <c r="D12" s="3308"/>
      <c r="E12" s="3308"/>
      <c r="F12" s="3308"/>
      <c r="G12" s="3308"/>
      <c r="H12" s="3308"/>
      <c r="I12" s="3308"/>
      <c r="J12" s="3308"/>
      <c r="K12" s="3308"/>
      <c r="L12" s="3308"/>
      <c r="M12" s="3308"/>
      <c r="N12" s="3308"/>
      <c r="O12" s="3308"/>
      <c r="P12" s="3308"/>
      <c r="Q12" s="3308"/>
      <c r="R12" s="3308"/>
      <c r="S12" s="3309"/>
      <c r="T12" s="3270"/>
      <c r="U12" s="3271"/>
      <c r="V12" s="3271"/>
      <c r="W12" s="3271"/>
      <c r="X12" s="3272"/>
      <c r="Y12" s="3270"/>
      <c r="Z12" s="3271"/>
      <c r="AA12" s="3271"/>
      <c r="AB12" s="3271"/>
      <c r="AC12" s="3272"/>
      <c r="AD12" s="3270"/>
      <c r="AE12" s="3271"/>
      <c r="AF12" s="3271"/>
      <c r="AG12" s="3271"/>
      <c r="AH12" s="3272"/>
      <c r="AI12" s="3270"/>
      <c r="AJ12" s="3271"/>
      <c r="AK12" s="3271"/>
      <c r="AL12" s="3271"/>
      <c r="AM12" s="3272"/>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10" t="s">
        <v>530</v>
      </c>
      <c r="D13" s="3310"/>
      <c r="E13" s="3310"/>
      <c r="F13" s="3310"/>
      <c r="G13" s="3310"/>
      <c r="H13" s="3310"/>
      <c r="I13" s="3310"/>
      <c r="J13" s="3310"/>
      <c r="K13" s="3310"/>
      <c r="L13" s="3310"/>
      <c r="M13" s="3310"/>
      <c r="N13" s="3310"/>
      <c r="O13" s="3310"/>
      <c r="P13" s="3310"/>
      <c r="Q13" s="3310"/>
      <c r="R13" s="3310"/>
      <c r="S13" s="3311"/>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10" t="s">
        <v>531</v>
      </c>
      <c r="D14" s="3310"/>
      <c r="E14" s="3310"/>
      <c r="F14" s="3310"/>
      <c r="G14" s="3310"/>
      <c r="H14" s="3310"/>
      <c r="I14" s="3310"/>
      <c r="J14" s="3310"/>
      <c r="K14" s="3310"/>
      <c r="L14" s="3310"/>
      <c r="M14" s="3310"/>
      <c r="N14" s="3310"/>
      <c r="O14" s="3310"/>
      <c r="P14" s="3310"/>
      <c r="Q14" s="3310"/>
      <c r="R14" s="3310"/>
      <c r="S14" s="3311"/>
      <c r="T14" s="3273"/>
      <c r="U14" s="3274"/>
      <c r="V14" s="3274"/>
      <c r="W14" s="3274"/>
      <c r="X14" s="3274"/>
      <c r="Y14" s="3273"/>
      <c r="Z14" s="3274"/>
      <c r="AA14" s="3274"/>
      <c r="AB14" s="3274"/>
      <c r="AC14" s="3274"/>
      <c r="AD14" s="3274"/>
      <c r="AE14" s="3274"/>
      <c r="AF14" s="3274"/>
      <c r="AG14" s="3274"/>
      <c r="AH14" s="3274"/>
      <c r="AI14" s="3274"/>
      <c r="AJ14" s="3274"/>
      <c r="AK14" s="3274"/>
      <c r="AL14" s="3274"/>
      <c r="AM14" s="3274"/>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10" t="s">
        <v>532</v>
      </c>
      <c r="D15" s="3310"/>
      <c r="E15" s="3310"/>
      <c r="F15" s="3310"/>
      <c r="G15" s="3310"/>
      <c r="H15" s="3310"/>
      <c r="I15" s="3310"/>
      <c r="J15" s="3310"/>
      <c r="K15" s="3310"/>
      <c r="L15" s="3310"/>
      <c r="M15" s="3310"/>
      <c r="N15" s="3310"/>
      <c r="O15" s="3310"/>
      <c r="P15" s="3310"/>
      <c r="Q15" s="3310"/>
      <c r="R15" s="3310"/>
      <c r="S15" s="3311"/>
      <c r="T15" s="3273"/>
      <c r="U15" s="3274"/>
      <c r="V15" s="3274"/>
      <c r="W15" s="3274"/>
      <c r="X15" s="3274"/>
      <c r="Y15" s="3273"/>
      <c r="Z15" s="3274"/>
      <c r="AA15" s="3274"/>
      <c r="AB15" s="3274"/>
      <c r="AC15" s="3274"/>
      <c r="AD15" s="3274"/>
      <c r="AE15" s="3274"/>
      <c r="AF15" s="3274"/>
      <c r="AG15" s="3274"/>
      <c r="AH15" s="3274"/>
      <c r="AI15" s="3274"/>
      <c r="AJ15" s="3274"/>
      <c r="AK15" s="3274"/>
      <c r="AL15" s="3274"/>
      <c r="AM15" s="3274"/>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10" t="s">
        <v>863</v>
      </c>
      <c r="D16" s="3310"/>
      <c r="E16" s="3310"/>
      <c r="F16" s="3310"/>
      <c r="G16" s="3310"/>
      <c r="H16" s="3310"/>
      <c r="I16" s="3310"/>
      <c r="J16" s="3310"/>
      <c r="K16" s="3310"/>
      <c r="L16" s="3310"/>
      <c r="M16" s="3310"/>
      <c r="N16" s="3310"/>
      <c r="O16" s="3310"/>
      <c r="P16" s="3310"/>
      <c r="Q16" s="3310"/>
      <c r="R16" s="3310"/>
      <c r="S16" s="3311"/>
      <c r="T16" s="3273"/>
      <c r="U16" s="3274"/>
      <c r="V16" s="3274"/>
      <c r="W16" s="3274"/>
      <c r="X16" s="3274"/>
      <c r="Y16" s="3273"/>
      <c r="Z16" s="3274"/>
      <c r="AA16" s="3274"/>
      <c r="AB16" s="3274"/>
      <c r="AC16" s="3274"/>
      <c r="AD16" s="3274"/>
      <c r="AE16" s="3274"/>
      <c r="AF16" s="3274"/>
      <c r="AG16" s="3274"/>
      <c r="AH16" s="3274"/>
      <c r="AI16" s="3274"/>
      <c r="AJ16" s="3274"/>
      <c r="AK16" s="3274"/>
      <c r="AL16" s="3274"/>
      <c r="AM16" s="3274"/>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10" t="s">
        <v>533</v>
      </c>
      <c r="D17" s="3310"/>
      <c r="E17" s="3310"/>
      <c r="F17" s="3310"/>
      <c r="G17" s="3310"/>
      <c r="H17" s="3310"/>
      <c r="I17" s="3310"/>
      <c r="J17" s="3310"/>
      <c r="K17" s="3310"/>
      <c r="L17" s="3310"/>
      <c r="M17" s="3310"/>
      <c r="N17" s="3310"/>
      <c r="O17" s="3310"/>
      <c r="P17" s="3310"/>
      <c r="Q17" s="3310"/>
      <c r="R17" s="3310"/>
      <c r="S17" s="3311"/>
      <c r="T17" s="3273"/>
      <c r="U17" s="3274"/>
      <c r="V17" s="3274"/>
      <c r="W17" s="3274"/>
      <c r="X17" s="3274"/>
      <c r="Y17" s="3273"/>
      <c r="Z17" s="3274"/>
      <c r="AA17" s="3274"/>
      <c r="AB17" s="3274"/>
      <c r="AC17" s="3274"/>
      <c r="AD17" s="3274"/>
      <c r="AE17" s="3274"/>
      <c r="AF17" s="3274"/>
      <c r="AG17" s="3274"/>
      <c r="AH17" s="3274"/>
      <c r="AI17" s="3274"/>
      <c r="AJ17" s="3274"/>
      <c r="AK17" s="3274"/>
      <c r="AL17" s="3274"/>
      <c r="AM17" s="3274"/>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05" t="s">
        <v>1037</v>
      </c>
      <c r="D18" s="3305"/>
      <c r="E18" s="3305"/>
      <c r="F18" s="3305"/>
      <c r="G18" s="3305"/>
      <c r="H18" s="3305"/>
      <c r="I18" s="3305"/>
      <c r="J18" s="3305"/>
      <c r="K18" s="3305"/>
      <c r="L18" s="3305"/>
      <c r="M18" s="3305"/>
      <c r="N18" s="3305"/>
      <c r="O18" s="3305"/>
      <c r="P18" s="3305"/>
      <c r="Q18" s="3305"/>
      <c r="R18" s="3305"/>
      <c r="S18" s="3306"/>
      <c r="T18" s="3273"/>
      <c r="U18" s="3274"/>
      <c r="V18" s="3274"/>
      <c r="W18" s="3274"/>
      <c r="X18" s="3274"/>
      <c r="Y18" s="3273"/>
      <c r="Z18" s="3274"/>
      <c r="AA18" s="3274"/>
      <c r="AB18" s="3274"/>
      <c r="AC18" s="3274"/>
      <c r="AD18" s="3274"/>
      <c r="AE18" s="3274"/>
      <c r="AF18" s="3274"/>
      <c r="AG18" s="3274"/>
      <c r="AH18" s="3274"/>
      <c r="AI18" s="3274"/>
      <c r="AJ18" s="3274"/>
      <c r="AK18" s="3274"/>
      <c r="AL18" s="3274"/>
      <c r="AM18" s="3274"/>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05" t="s">
        <v>1037</v>
      </c>
      <c r="D19" s="3305"/>
      <c r="E19" s="3305"/>
      <c r="F19" s="3305"/>
      <c r="G19" s="3305"/>
      <c r="H19" s="3305"/>
      <c r="I19" s="3305"/>
      <c r="J19" s="3305"/>
      <c r="K19" s="3305"/>
      <c r="L19" s="3305"/>
      <c r="M19" s="3305"/>
      <c r="N19" s="3305"/>
      <c r="O19" s="3305"/>
      <c r="P19" s="3305"/>
      <c r="Q19" s="3305"/>
      <c r="R19" s="3305"/>
      <c r="S19" s="3306"/>
      <c r="T19" s="3273"/>
      <c r="U19" s="3274"/>
      <c r="V19" s="3274"/>
      <c r="W19" s="3274"/>
      <c r="X19" s="3274"/>
      <c r="Y19" s="3273"/>
      <c r="Z19" s="3274"/>
      <c r="AA19" s="3274"/>
      <c r="AB19" s="3274"/>
      <c r="AC19" s="3274"/>
      <c r="AD19" s="3274"/>
      <c r="AE19" s="3274"/>
      <c r="AF19" s="3274"/>
      <c r="AG19" s="3274"/>
      <c r="AH19" s="3274"/>
      <c r="AI19" s="3274"/>
      <c r="AJ19" s="3274"/>
      <c r="AK19" s="3274"/>
      <c r="AL19" s="3274"/>
      <c r="AM19" s="3274"/>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82" t="s">
        <v>534</v>
      </c>
      <c r="C20" s="3283"/>
      <c r="D20" s="3283"/>
      <c r="E20" s="3283"/>
      <c r="F20" s="3283"/>
      <c r="G20" s="3283"/>
      <c r="H20" s="3283"/>
      <c r="I20" s="3283"/>
      <c r="J20" s="3283"/>
      <c r="K20" s="3283"/>
      <c r="L20" s="3283"/>
      <c r="M20" s="3283"/>
      <c r="N20" s="3283"/>
      <c r="O20" s="3283"/>
      <c r="P20" s="3283"/>
      <c r="Q20" s="3283"/>
      <c r="R20" s="3283"/>
      <c r="S20" s="3284"/>
      <c r="T20" s="3275">
        <f>SUM(T13:X19)</f>
        <v>0</v>
      </c>
      <c r="U20" s="3276"/>
      <c r="V20" s="3276"/>
      <c r="W20" s="3276"/>
      <c r="X20" s="3276"/>
      <c r="Y20" s="3275">
        <f>SUM(Y13:AC19)</f>
        <v>0</v>
      </c>
      <c r="Z20" s="3276"/>
      <c r="AA20" s="3276"/>
      <c r="AB20" s="3276"/>
      <c r="AC20" s="3276"/>
      <c r="AD20" s="3277">
        <f>SUM(AD13:AH19)</f>
        <v>0</v>
      </c>
      <c r="AE20" s="3278"/>
      <c r="AF20" s="3278"/>
      <c r="AG20" s="3278"/>
      <c r="AH20" s="3275"/>
      <c r="AI20" s="3277">
        <f>SUM(AI13:AM19)</f>
        <v>0</v>
      </c>
      <c r="AJ20" s="3278"/>
      <c r="AK20" s="3278"/>
      <c r="AL20" s="3278"/>
      <c r="AM20" s="3275"/>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82" t="s">
        <v>1493</v>
      </c>
      <c r="C21" s="3283"/>
      <c r="D21" s="3283"/>
      <c r="E21" s="3283"/>
      <c r="F21" s="3283"/>
      <c r="G21" s="3283"/>
      <c r="H21" s="3283"/>
      <c r="I21" s="3283"/>
      <c r="J21" s="3283"/>
      <c r="K21" s="3283"/>
      <c r="L21" s="3283"/>
      <c r="M21" s="3283"/>
      <c r="N21" s="3283"/>
      <c r="O21" s="3283"/>
      <c r="P21" s="3283"/>
      <c r="Q21" s="3283"/>
      <c r="R21" s="3283"/>
      <c r="S21" s="3284"/>
      <c r="T21" s="3273"/>
      <c r="U21" s="3274"/>
      <c r="V21" s="3274"/>
      <c r="W21" s="3274"/>
      <c r="X21" s="3274"/>
      <c r="Y21" s="3273"/>
      <c r="Z21" s="3274"/>
      <c r="AA21" s="3274"/>
      <c r="AB21" s="3274"/>
      <c r="AC21" s="3274"/>
      <c r="AD21" s="3270"/>
      <c r="AE21" s="3271"/>
      <c r="AF21" s="3271"/>
      <c r="AG21" s="3271"/>
      <c r="AH21" s="3272"/>
      <c r="AI21" s="3270"/>
      <c r="AJ21" s="3271"/>
      <c r="AK21" s="3271"/>
      <c r="AL21" s="3271"/>
      <c r="AM21" s="3272"/>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82" t="s">
        <v>535</v>
      </c>
      <c r="C22" s="3283"/>
      <c r="D22" s="3283"/>
      <c r="E22" s="3283"/>
      <c r="F22" s="3283"/>
      <c r="G22" s="3283"/>
      <c r="H22" s="3283"/>
      <c r="I22" s="3283"/>
      <c r="J22" s="3283"/>
      <c r="K22" s="3283"/>
      <c r="L22" s="3283"/>
      <c r="M22" s="3283"/>
      <c r="N22" s="3283"/>
      <c r="O22" s="3283"/>
      <c r="P22" s="3283"/>
      <c r="Q22" s="3283"/>
      <c r="R22" s="3283"/>
      <c r="S22" s="3284"/>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285" t="s">
        <v>536</v>
      </c>
      <c r="C23" s="3286"/>
      <c r="D23" s="3286"/>
      <c r="E23" s="3286"/>
      <c r="F23" s="3286"/>
      <c r="G23" s="3286"/>
      <c r="H23" s="3286"/>
      <c r="I23" s="3286"/>
      <c r="J23" s="3286"/>
      <c r="K23" s="3286"/>
      <c r="L23" s="3286"/>
      <c r="M23" s="3286"/>
      <c r="N23" s="3286"/>
      <c r="O23" s="3286"/>
      <c r="P23" s="3286"/>
      <c r="Q23" s="3286"/>
      <c r="R23" s="3286"/>
      <c r="S23" s="3287"/>
      <c r="T23" s="3275">
        <f>T11+T22</f>
        <v>37147003</v>
      </c>
      <c r="U23" s="3276"/>
      <c r="V23" s="3276"/>
      <c r="W23" s="3276"/>
      <c r="X23" s="3276"/>
      <c r="Y23" s="3275">
        <f>Y11+Y22</f>
        <v>0</v>
      </c>
      <c r="Z23" s="3276"/>
      <c r="AA23" s="3276"/>
      <c r="AB23" s="3276"/>
      <c r="AC23" s="3276"/>
      <c r="AD23" s="3275">
        <f>AD11+AD22</f>
        <v>0</v>
      </c>
      <c r="AE23" s="3276"/>
      <c r="AF23" s="3276"/>
      <c r="AG23" s="3276"/>
      <c r="AH23" s="3276"/>
      <c r="AI23" s="3275">
        <f>AI11+AI22</f>
        <v>0</v>
      </c>
      <c r="AJ23" s="3276"/>
      <c r="AK23" s="3276"/>
      <c r="AL23" s="3276"/>
      <c r="AM23" s="3276"/>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82" t="s">
        <v>1038</v>
      </c>
      <c r="C24" s="3283"/>
      <c r="D24" s="3283"/>
      <c r="E24" s="3283"/>
      <c r="F24" s="3283"/>
      <c r="G24" s="3283"/>
      <c r="H24" s="3283"/>
      <c r="I24" s="3283"/>
      <c r="J24" s="3283"/>
      <c r="K24" s="3283"/>
      <c r="L24" s="3283"/>
      <c r="M24" s="3283"/>
      <c r="N24" s="3283"/>
      <c r="O24" s="3283"/>
      <c r="P24" s="3283"/>
      <c r="Q24" s="3283"/>
      <c r="R24" s="3283"/>
      <c r="S24" s="3284"/>
      <c r="T24" s="3277">
        <f>Application!AJ1032</f>
        <v>98781718</v>
      </c>
      <c r="U24" s="3278"/>
      <c r="V24" s="3278"/>
      <c r="W24" s="3278"/>
      <c r="X24" s="3278"/>
      <c r="Y24" s="3278"/>
      <c r="Z24" s="3278"/>
      <c r="AA24" s="3278"/>
      <c r="AB24" s="3278"/>
      <c r="AC24" s="3278"/>
      <c r="AD24" s="3278"/>
      <c r="AE24" s="3278"/>
      <c r="AF24" s="3278"/>
      <c r="AG24" s="3278"/>
      <c r="AH24" s="3278"/>
      <c r="AI24" s="3278"/>
      <c r="AJ24" s="3278"/>
      <c r="AK24" s="3278"/>
      <c r="AL24" s="3278"/>
      <c r="AM24" s="3275"/>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289" t="s">
        <v>1494</v>
      </c>
      <c r="C25" s="3290"/>
      <c r="D25" s="3290"/>
      <c r="E25" s="3290"/>
      <c r="F25" s="3290"/>
      <c r="G25" s="3290"/>
      <c r="H25" s="3290"/>
      <c r="I25" s="3290"/>
      <c r="J25" s="3290"/>
      <c r="K25" s="3290"/>
      <c r="L25" s="3290"/>
      <c r="M25" s="3290"/>
      <c r="N25" s="3290"/>
      <c r="O25" s="3290"/>
      <c r="P25" s="3290"/>
      <c r="Q25" s="3290"/>
      <c r="R25" s="3290"/>
      <c r="S25" s="329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82" t="s">
        <v>537</v>
      </c>
      <c r="C26" s="3283"/>
      <c r="D26" s="3283"/>
      <c r="E26" s="3283"/>
      <c r="F26" s="3283"/>
      <c r="G26" s="3283"/>
      <c r="H26" s="3283"/>
      <c r="I26" s="3283"/>
      <c r="J26" s="3283"/>
      <c r="K26" s="3283"/>
      <c r="L26" s="3283"/>
      <c r="M26" s="3283"/>
      <c r="N26" s="3283"/>
      <c r="O26" s="3283"/>
      <c r="P26" s="3283"/>
      <c r="Q26" s="3283"/>
      <c r="R26" s="3283"/>
      <c r="S26" s="3284"/>
      <c r="T26" s="3326">
        <f>T23*T25</f>
        <v>48291103.899999999</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292" t="s">
        <v>446</v>
      </c>
      <c r="C27" s="3293"/>
      <c r="D27" s="3293"/>
      <c r="E27" s="3293"/>
      <c r="F27" s="3293"/>
      <c r="G27" s="3293"/>
      <c r="H27" s="3293"/>
      <c r="I27" s="3293"/>
      <c r="J27" s="3293"/>
      <c r="K27" s="3293"/>
      <c r="L27" s="3293"/>
      <c r="M27" s="3293"/>
      <c r="N27" s="3293"/>
      <c r="O27" s="3293"/>
      <c r="P27" s="3293"/>
      <c r="Q27" s="3293"/>
      <c r="R27" s="3293"/>
      <c r="S27" s="3294"/>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2" t="s">
        <v>538</v>
      </c>
      <c r="C28" s="3283"/>
      <c r="D28" s="3283"/>
      <c r="E28" s="3283"/>
      <c r="F28" s="3283"/>
      <c r="G28" s="3283"/>
      <c r="H28" s="3283"/>
      <c r="I28" s="3283"/>
      <c r="J28" s="3283"/>
      <c r="K28" s="3283"/>
      <c r="L28" s="3283"/>
      <c r="M28" s="3283"/>
      <c r="N28" s="3283"/>
      <c r="O28" s="3283"/>
      <c r="P28" s="3283"/>
      <c r="Q28" s="3283"/>
      <c r="R28" s="3283"/>
      <c r="S28" s="3284"/>
      <c r="T28" s="3295">
        <f>IF(ISERROR((T26*T27)),0,(T26*T27))</f>
        <v>48291103.899999999</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82" t="s">
        <v>555</v>
      </c>
      <c r="C29" s="3283"/>
      <c r="D29" s="3283"/>
      <c r="E29" s="3283"/>
      <c r="F29" s="3283"/>
      <c r="G29" s="3283"/>
      <c r="H29" s="3283"/>
      <c r="I29" s="3283"/>
      <c r="J29" s="3283"/>
      <c r="K29" s="3283"/>
      <c r="L29" s="3283"/>
      <c r="M29" s="3283"/>
      <c r="N29" s="3283"/>
      <c r="O29" s="3283"/>
      <c r="P29" s="3283"/>
      <c r="Q29" s="3283"/>
      <c r="R29" s="3283"/>
      <c r="S29" s="3284"/>
      <c r="T29" s="3277">
        <f>T28+Y28+AD28+AI28</f>
        <v>48291103.899999999</v>
      </c>
      <c r="U29" s="3278"/>
      <c r="V29" s="3278"/>
      <c r="W29" s="3278"/>
      <c r="X29" s="3278"/>
      <c r="Y29" s="3278"/>
      <c r="Z29" s="3278"/>
      <c r="AA29" s="3278"/>
      <c r="AB29" s="3278"/>
      <c r="AC29" s="3278"/>
      <c r="AD29" s="3278"/>
      <c r="AE29" s="3278"/>
      <c r="AF29" s="3278"/>
      <c r="AG29" s="3278"/>
      <c r="AH29" s="3278"/>
      <c r="AI29" s="3278"/>
      <c r="AJ29" s="3278"/>
      <c r="AK29" s="3278"/>
      <c r="AL29" s="3278"/>
      <c r="AM29" s="3275"/>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8" t="s">
        <v>1496</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8" t="s">
        <v>1495</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404</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4" t="s">
        <v>1344</v>
      </c>
      <c r="Z35" s="3314"/>
      <c r="AA35" s="3314"/>
      <c r="AB35" s="3314"/>
      <c r="AC35" s="3314"/>
      <c r="AD35" s="3340" t="s">
        <v>379</v>
      </c>
      <c r="AE35" s="3340"/>
      <c r="AF35" s="3340"/>
      <c r="AG35" s="3340"/>
      <c r="AH35" s="3340"/>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4"/>
      <c r="Z36" s="3314"/>
      <c r="AA36" s="3314"/>
      <c r="AB36" s="3314"/>
      <c r="AC36" s="3314"/>
      <c r="AD36" s="3340"/>
      <c r="AE36" s="3340"/>
      <c r="AF36" s="3340"/>
      <c r="AG36" s="3340"/>
      <c r="AH36" s="3340"/>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4"/>
      <c r="Z37" s="3314"/>
      <c r="AA37" s="3314"/>
      <c r="AB37" s="3314"/>
      <c r="AC37" s="3314"/>
      <c r="AD37" s="3340"/>
      <c r="AE37" s="3340"/>
      <c r="AF37" s="3340"/>
      <c r="AG37" s="3340"/>
      <c r="AH37" s="3340"/>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2" t="s">
        <v>538</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276">
        <f>IF(T24&gt;=(T23+Y23+AD23+AI23),T28+Y28,0)</f>
        <v>48291103.899999999</v>
      </c>
      <c r="Z38" s="3276"/>
      <c r="AA38" s="3276"/>
      <c r="AB38" s="3276"/>
      <c r="AC38" s="3276"/>
      <c r="AD38" s="3276">
        <f>IF(T24&gt;=(T23+Y23+AD23+AI23),AD28+AI28,0)</f>
        <v>0</v>
      </c>
      <c r="AE38" s="3276"/>
      <c r="AF38" s="3276"/>
      <c r="AG38" s="3276"/>
      <c r="AH38" s="3276"/>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82" t="s">
        <v>2177</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41">
        <v>0.04</v>
      </c>
      <c r="Z39" s="3341"/>
      <c r="AA39" s="3341"/>
      <c r="AB39" s="3341"/>
      <c r="AC39" s="3341"/>
      <c r="AD39" s="3341">
        <v>0.04</v>
      </c>
      <c r="AE39" s="3341"/>
      <c r="AF39" s="3341"/>
      <c r="AG39" s="3341"/>
      <c r="AH39" s="3341"/>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2" t="s">
        <v>676</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276">
        <f>ROUND(Y38*Y39,0)</f>
        <v>1931644</v>
      </c>
      <c r="Z40" s="3276"/>
      <c r="AA40" s="3276"/>
      <c r="AB40" s="3276"/>
      <c r="AC40" s="3276"/>
      <c r="AD40" s="3275">
        <f>ROUND(AD38*AD39,0)</f>
        <v>0</v>
      </c>
      <c r="AE40" s="3276"/>
      <c r="AF40" s="3276"/>
      <c r="AG40" s="3276"/>
      <c r="AH40" s="3276"/>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82" t="s">
        <v>677</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297">
        <f>Y40+AD40</f>
        <v>1931644</v>
      </c>
      <c r="Z41" s="3298"/>
      <c r="AA41" s="3298"/>
      <c r="AB41" s="3298"/>
      <c r="AC41" s="3298"/>
      <c r="AD41" s="3298"/>
      <c r="AE41" s="3298"/>
      <c r="AF41" s="3298"/>
      <c r="AG41" s="3298"/>
      <c r="AH41" s="3299"/>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80" t="s">
        <v>1509</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620</v>
      </c>
      <c r="B46" s="616"/>
      <c r="C46" s="621" t="s">
        <v>287</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288</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0">
        <f>'Sources and Uses Budget'!B105-'Sources and Uses Budget'!B15</f>
        <v>44795412</v>
      </c>
      <c r="AC47" s="3301"/>
      <c r="AD47" s="3301"/>
      <c r="AE47" s="3301"/>
      <c r="AF47" s="3302"/>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0">
        <f>Application!AO649-MIN('Sources and Uses Budget'!B15,Application!AG394)</f>
        <v>23241740</v>
      </c>
      <c r="AC48" s="3301"/>
      <c r="AD48" s="3301"/>
      <c r="AE48" s="3301"/>
      <c r="AF48" s="3302"/>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0">
        <f>AB47-AB48</f>
        <v>21553672</v>
      </c>
      <c r="AC49" s="3301"/>
      <c r="AD49" s="3301"/>
      <c r="AE49" s="3301"/>
      <c r="AF49" s="3302"/>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3">
        <v>0.90144254999999995</v>
      </c>
      <c r="AC50" s="3334"/>
      <c r="AD50" s="3334"/>
      <c r="AE50" s="3334"/>
      <c r="AF50" s="3335"/>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6" t="s">
        <v>2373</v>
      </c>
      <c r="F51" s="3336"/>
      <c r="G51" s="3336"/>
      <c r="H51" s="3336"/>
      <c r="I51" s="3336"/>
      <c r="J51" s="3336"/>
      <c r="K51" s="3336"/>
      <c r="L51" s="3336"/>
      <c r="M51" s="3336"/>
      <c r="N51" s="3336"/>
      <c r="O51" s="3336"/>
      <c r="P51" s="3336"/>
      <c r="Q51" s="3336"/>
      <c r="R51" s="3336"/>
      <c r="S51" s="3336"/>
      <c r="T51" s="3336"/>
      <c r="U51" s="3336"/>
      <c r="V51" s="3336"/>
      <c r="W51" s="3336"/>
      <c r="X51" s="3336"/>
      <c r="Y51" s="3336"/>
      <c r="Z51" s="3336"/>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6"/>
      <c r="F52" s="3336"/>
      <c r="G52" s="3336"/>
      <c r="H52" s="3336"/>
      <c r="I52" s="3336"/>
      <c r="J52" s="3336"/>
      <c r="K52" s="3336"/>
      <c r="L52" s="3336"/>
      <c r="M52" s="3336"/>
      <c r="N52" s="3336"/>
      <c r="O52" s="3336"/>
      <c r="P52" s="3336"/>
      <c r="Q52" s="3336"/>
      <c r="R52" s="3336"/>
      <c r="S52" s="3336"/>
      <c r="T52" s="3336"/>
      <c r="U52" s="3336"/>
      <c r="V52" s="3336"/>
      <c r="W52" s="3336"/>
      <c r="X52" s="3336"/>
      <c r="Y52" s="3336"/>
      <c r="Z52" s="3336"/>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340</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0">
        <f>ROUND(IF(ISERROR((AB49/AB50)),0,(AB49/AB50)),0)</f>
        <v>23910200</v>
      </c>
      <c r="AC54" s="3301"/>
      <c r="AD54" s="3301"/>
      <c r="AE54" s="3301"/>
      <c r="AF54" s="3302"/>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341</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0">
        <f>(AB54/10)</f>
        <v>2391020</v>
      </c>
      <c r="AC55" s="3301"/>
      <c r="AD55" s="3301"/>
      <c r="AE55" s="3301"/>
      <c r="AF55" s="3302"/>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37">
        <f>(IF((Y41&lt;AB55),Y41,AB55))</f>
        <v>1931644</v>
      </c>
      <c r="AC56" s="3338"/>
      <c r="AD56" s="3338"/>
      <c r="AE56" s="3338"/>
      <c r="AF56" s="3339"/>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0">
        <f>ROUND((10*AB56*AB50),0)</f>
        <v>17412661</v>
      </c>
      <c r="AC57" s="3301"/>
      <c r="AD57" s="3301"/>
      <c r="AE57" s="3301"/>
      <c r="AF57" s="3302"/>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8">
        <f>AB49-AB57</f>
        <v>4141011</v>
      </c>
      <c r="AC59" s="3328"/>
      <c r="AD59" s="3328"/>
      <c r="AE59" s="3328"/>
      <c r="AF59" s="3328"/>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623</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329" t="s">
        <v>1066</v>
      </c>
      <c r="Z63" s="3329"/>
      <c r="AA63" s="3329"/>
      <c r="AB63" s="3329"/>
      <c r="AC63" s="3329"/>
      <c r="AD63" s="3329" t="s">
        <v>379</v>
      </c>
      <c r="AE63" s="3329"/>
      <c r="AF63" s="3329"/>
      <c r="AG63" s="3329"/>
      <c r="AH63" s="3329"/>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330">
        <f>IF(Application!Z204="(select)",0,((T23*T27)+Y28))</f>
        <v>37147003</v>
      </c>
      <c r="Z64" s="3331"/>
      <c r="AA64" s="3331"/>
      <c r="AB64" s="3331"/>
      <c r="AC64" s="3332"/>
      <c r="AD64" s="3330">
        <f>IF(AND(Application!AP204="yes",Application!M357="yes"),AD28+AI28,0)</f>
        <v>0</v>
      </c>
      <c r="AE64" s="3331"/>
      <c r="AF64" s="3331"/>
      <c r="AG64" s="3331"/>
      <c r="AH64" s="3332"/>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275</v>
      </c>
      <c r="E67" s="645"/>
      <c r="F67" s="645"/>
      <c r="G67" s="645"/>
      <c r="H67" s="645"/>
      <c r="I67" s="645"/>
      <c r="J67" s="645"/>
      <c r="K67" s="645"/>
      <c r="L67" s="645"/>
      <c r="M67" s="645"/>
      <c r="N67" s="645"/>
      <c r="O67" s="645"/>
      <c r="P67" s="645"/>
      <c r="Q67" s="645"/>
      <c r="R67" s="645"/>
      <c r="S67" s="645"/>
      <c r="T67" s="645"/>
      <c r="U67" s="645"/>
      <c r="V67" s="645"/>
      <c r="W67" s="645"/>
      <c r="X67" s="645"/>
      <c r="Y67" s="3347">
        <f>IF(Application!AP204="yes",0.75,IF(Application!Z203="15% set-aside",0.13,IF(Application!Z203="15% set-aside with qualifying low value rehab",0.95,0.3)))</f>
        <v>0.3</v>
      </c>
      <c r="Z67" s="3347"/>
      <c r="AA67" s="3347"/>
      <c r="AB67" s="3347"/>
      <c r="AC67" s="3347"/>
      <c r="AD67" s="3347">
        <f>IF(Application!AP204="yes",0.75,IF(Application!Z203="15% set-aside with qualifying low value rehab", 0.95,0.13))</f>
        <v>0.13</v>
      </c>
      <c r="AE67" s="3347"/>
      <c r="AF67" s="3347"/>
      <c r="AG67" s="3347"/>
      <c r="AH67" s="3347"/>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348">
        <f>ROUND(Y64*Y67,0)</f>
        <v>11144101</v>
      </c>
      <c r="Z68" s="3349"/>
      <c r="AA68" s="3349"/>
      <c r="AB68" s="3349"/>
      <c r="AC68" s="3349"/>
      <c r="AD68" s="3348" t="str">
        <f>IF(Application!D210="At-Risk",AD64*AD67,"$0")</f>
        <v>$0</v>
      </c>
      <c r="AE68" s="3349"/>
      <c r="AF68" s="3349"/>
      <c r="AG68" s="3349"/>
      <c r="AH68" s="3349"/>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624</v>
      </c>
      <c r="B70" s="616"/>
      <c r="C70" s="334" t="s">
        <v>289</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3">
        <v>0.83</v>
      </c>
      <c r="AC71" s="3334"/>
      <c r="AD71" s="3334"/>
      <c r="AE71" s="3334"/>
      <c r="AF71" s="3335"/>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0" t="s">
        <v>1481</v>
      </c>
      <c r="F72" s="3350"/>
      <c r="G72" s="3350"/>
      <c r="H72" s="3350"/>
      <c r="I72" s="3350"/>
      <c r="J72" s="3350"/>
      <c r="K72" s="3350"/>
      <c r="L72" s="3350"/>
      <c r="M72" s="3350"/>
      <c r="N72" s="3350"/>
      <c r="O72" s="3350"/>
      <c r="P72" s="3350"/>
      <c r="Q72" s="3350"/>
      <c r="R72" s="3350"/>
      <c r="S72" s="3350"/>
      <c r="T72" s="3350"/>
      <c r="U72" s="3350"/>
      <c r="V72" s="3350"/>
      <c r="W72" s="3350"/>
      <c r="X72" s="3350"/>
      <c r="Y72" s="3350"/>
      <c r="Z72" s="3350"/>
      <c r="AA72" s="3350"/>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0"/>
      <c r="F73" s="3350"/>
      <c r="G73" s="3350"/>
      <c r="H73" s="3350"/>
      <c r="I73" s="3350"/>
      <c r="J73" s="3350"/>
      <c r="K73" s="3350"/>
      <c r="L73" s="3350"/>
      <c r="M73" s="3350"/>
      <c r="N73" s="3350"/>
      <c r="O73" s="3350"/>
      <c r="P73" s="3350"/>
      <c r="Q73" s="3350"/>
      <c r="R73" s="3350"/>
      <c r="S73" s="3350"/>
      <c r="T73" s="3350"/>
      <c r="U73" s="3350"/>
      <c r="V73" s="3350"/>
      <c r="W73" s="3350"/>
      <c r="X73" s="3350"/>
      <c r="Y73" s="3350"/>
      <c r="Z73" s="3350"/>
      <c r="AA73" s="3350"/>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0"/>
      <c r="F74" s="3350"/>
      <c r="G74" s="3350"/>
      <c r="H74" s="3350"/>
      <c r="I74" s="3350"/>
      <c r="J74" s="3350"/>
      <c r="K74" s="3350"/>
      <c r="L74" s="3350"/>
      <c r="M74" s="3350"/>
      <c r="N74" s="3350"/>
      <c r="O74" s="3350"/>
      <c r="P74" s="3350"/>
      <c r="Q74" s="3350"/>
      <c r="R74" s="3350"/>
      <c r="S74" s="3350"/>
      <c r="T74" s="3350"/>
      <c r="U74" s="3350"/>
      <c r="V74" s="3350"/>
      <c r="W74" s="3350"/>
      <c r="X74" s="3350"/>
      <c r="Y74" s="3350"/>
      <c r="Z74" s="3350"/>
      <c r="AA74" s="3350"/>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2">
        <f>ROUND(IF(ISERROR((AB59/AB71)),0,(AB59/AB71)),0)</f>
        <v>4989170</v>
      </c>
      <c r="AC76" s="3342"/>
      <c r="AD76" s="3342"/>
      <c r="AE76" s="3342"/>
      <c r="AF76" s="3342"/>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3">
        <f>IF((Y68+AD68&lt;AB76),Y68+AD68,AB76)</f>
        <v>4989170</v>
      </c>
      <c r="AC77" s="3344"/>
      <c r="AD77" s="3344"/>
      <c r="AE77" s="3344"/>
      <c r="AF77" s="3345"/>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6">
        <f>AB77*AB71</f>
        <v>4141011.0999999996</v>
      </c>
      <c r="AC78" s="3346"/>
      <c r="AD78" s="3346"/>
      <c r="AE78" s="3346"/>
      <c r="AF78" s="3346"/>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8">
        <f>AB49-(AB57+AB78)</f>
        <v>-0.10000000149011612</v>
      </c>
      <c r="AC80" s="3328"/>
      <c r="AD80" s="3328"/>
      <c r="AE80" s="3328"/>
      <c r="AF80" s="3328"/>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 thickTop="1"/>
    <row r="85" spans="1:98" ht="13">
      <c r="A85" s="793"/>
      <c r="C85" s="334"/>
      <c r="Z85" s="618"/>
      <c r="AA85" s="618"/>
      <c r="AB85" s="618"/>
      <c r="AC85" s="618"/>
      <c r="AD85" s="618"/>
      <c r="AE85" s="618"/>
      <c r="AF85" s="618"/>
      <c r="AG85" s="618"/>
      <c r="AH85" s="618"/>
    </row>
    <row r="86" spans="1:98" ht="13">
      <c r="D86" s="334"/>
      <c r="Z86" s="618"/>
      <c r="AA86" s="618"/>
      <c r="AB86" s="3281"/>
      <c r="AC86" s="3281"/>
      <c r="AD86" s="3281"/>
      <c r="AE86" s="3281"/>
      <c r="AF86" s="3281"/>
      <c r="AG86" s="618"/>
      <c r="AH86" s="618"/>
    </row>
    <row r="87" spans="1:98" ht="13.5" thickBot="1">
      <c r="D87" s="334"/>
      <c r="Z87" s="618"/>
      <c r="AA87" s="618"/>
      <c r="AB87" s="3279"/>
      <c r="AC87" s="3279"/>
      <c r="AD87" s="3279"/>
      <c r="AE87" s="3279"/>
      <c r="AF87" s="3279"/>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5"/>
  <sheetViews>
    <sheetView showGridLines="0" zoomScaleNormal="100" zoomScaleSheetLayoutView="80" workbookViewId="0">
      <selection activeCell="H34" sqref="H34"/>
    </sheetView>
  </sheetViews>
  <sheetFormatPr defaultColWidth="9" defaultRowHeight="14" zeroHeight="1"/>
  <cols>
    <col min="1" max="2" width="2.453125" style="1423" customWidth="1"/>
    <col min="3" max="3" width="3.81640625" style="1423" customWidth="1"/>
    <col min="4" max="4" width="15.453125" style="1423" customWidth="1"/>
    <col min="5" max="5" width="32.453125" style="1423" customWidth="1"/>
    <col min="6" max="8" width="15.453125" style="1423" customWidth="1"/>
    <col min="9" max="9" width="40.453125" style="1423" customWidth="1"/>
    <col min="10" max="10" width="30.453125" style="1423" customWidth="1"/>
    <col min="11" max="13" width="2.453125" style="1423" customWidth="1"/>
    <col min="14" max="14" width="29.6328125" style="1423" customWidth="1"/>
    <col min="15" max="24" width="2.453125" style="1423" customWidth="1"/>
    <col min="25" max="33" width="9" style="1423" customWidth="1"/>
    <col min="34" max="16384" width="9" style="1423"/>
  </cols>
  <sheetData>
    <row r="1" spans="1:33">
      <c r="A1" s="3353" t="s">
        <v>1933</v>
      </c>
      <c r="B1" s="3353"/>
      <c r="C1" s="3353"/>
      <c r="D1" s="3353"/>
      <c r="E1" s="3353"/>
      <c r="F1" s="3353"/>
      <c r="G1" s="3353"/>
      <c r="H1" s="3353"/>
      <c r="I1" s="3353"/>
      <c r="J1" s="3353"/>
      <c r="K1" s="3353"/>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3"/>
      <c r="B2" s="3353"/>
      <c r="C2" s="3353"/>
      <c r="D2" s="3353"/>
      <c r="E2" s="3353"/>
      <c r="F2" s="3353"/>
      <c r="G2" s="3353"/>
      <c r="H2" s="3353"/>
      <c r="I2" s="3353"/>
      <c r="J2" s="3353"/>
      <c r="K2" s="3353"/>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4" t="s">
        <v>1934</v>
      </c>
      <c r="D4" s="3354"/>
      <c r="E4" s="3354"/>
      <c r="F4" s="3354"/>
      <c r="G4" s="3354"/>
      <c r="H4" s="3354"/>
      <c r="I4" s="3354"/>
      <c r="J4" s="3354"/>
    </row>
    <row r="5" spans="1:33">
      <c r="C5" s="3354"/>
      <c r="D5" s="3354"/>
      <c r="E5" s="3354"/>
      <c r="F5" s="3354"/>
      <c r="G5" s="3354"/>
      <c r="H5" s="3354"/>
      <c r="I5" s="3354"/>
      <c r="J5" s="3354"/>
    </row>
    <row r="6" spans="1:33">
      <c r="C6" s="1425"/>
      <c r="D6" s="1425"/>
      <c r="E6" s="1425"/>
      <c r="F6" s="1425"/>
      <c r="G6" s="1425"/>
      <c r="H6" s="1425"/>
      <c r="I6" s="1425"/>
      <c r="J6" s="1425"/>
    </row>
    <row r="7" spans="1:33">
      <c r="C7" s="1426" t="s">
        <v>1935</v>
      </c>
      <c r="D7" s="1425"/>
      <c r="E7" s="3355" t="str">
        <f>Application!H16</f>
        <v>Abode Communities</v>
      </c>
      <c r="F7" s="3355"/>
      <c r="G7" s="3355"/>
      <c r="H7" s="1425"/>
      <c r="I7" s="1426" t="s">
        <v>1936</v>
      </c>
      <c r="J7" s="1427">
        <f>Application!AG437+Application!AG439</f>
        <v>88</v>
      </c>
    </row>
    <row r="8" spans="1:33">
      <c r="C8" s="1426" t="s">
        <v>1937</v>
      </c>
      <c r="D8" s="1425"/>
      <c r="E8" s="3355" t="str">
        <f>Application!H18</f>
        <v>Beacon Landing</v>
      </c>
      <c r="F8" s="3355"/>
      <c r="G8" s="3355"/>
      <c r="H8" s="1425"/>
      <c r="I8" s="1426" t="s">
        <v>1938</v>
      </c>
      <c r="J8" s="1428">
        <f>Application!CS663</f>
        <v>88</v>
      </c>
    </row>
    <row r="9" spans="1:33" ht="14.25" customHeight="1">
      <c r="C9" s="1426" t="s">
        <v>1939</v>
      </c>
      <c r="D9" s="1425"/>
      <c r="E9" s="3356" t="str">
        <f>Application!D210</f>
        <v>Special Needs</v>
      </c>
      <c r="F9" s="3356"/>
      <c r="G9" s="3356"/>
      <c r="H9" s="1425"/>
      <c r="I9" s="1426" t="s">
        <v>1940</v>
      </c>
      <c r="J9" s="1429">
        <v>88</v>
      </c>
      <c r="N9" s="1430"/>
    </row>
    <row r="10" spans="1:33" ht="27" customHeight="1">
      <c r="C10" s="3354" t="s">
        <v>1941</v>
      </c>
      <c r="D10" s="3354"/>
      <c r="E10" s="3357" t="str">
        <f>Application!D213</f>
        <v>N/A</v>
      </c>
      <c r="F10" s="3357"/>
      <c r="G10" s="3357"/>
      <c r="H10" s="1425"/>
      <c r="I10" s="1431" t="s">
        <v>1942</v>
      </c>
      <c r="J10" s="1432">
        <f>IF(J9&gt;0,J8-J9,J8)</f>
        <v>0</v>
      </c>
      <c r="N10" s="1430"/>
    </row>
    <row r="11" spans="1:33">
      <c r="C11" s="1433"/>
      <c r="N11" s="1430"/>
    </row>
    <row r="12" spans="1:33" ht="15" customHeight="1">
      <c r="C12" s="3358" t="s">
        <v>1943</v>
      </c>
      <c r="D12" s="3359"/>
      <c r="E12" s="3360"/>
      <c r="F12" s="3351" t="s">
        <v>1944</v>
      </c>
      <c r="G12" s="3351" t="s">
        <v>1945</v>
      </c>
      <c r="H12" s="3364" t="s">
        <v>2159</v>
      </c>
      <c r="I12" s="3351" t="s">
        <v>2158</v>
      </c>
      <c r="J12" s="3351" t="s">
        <v>1946</v>
      </c>
      <c r="N12" s="1430"/>
    </row>
    <row r="13" spans="1:33" ht="68.25" customHeight="1">
      <c r="C13" s="3361"/>
      <c r="D13" s="3362"/>
      <c r="E13" s="3363"/>
      <c r="F13" s="3352"/>
      <c r="G13" s="3352"/>
      <c r="H13" s="3365"/>
      <c r="I13" s="3352"/>
      <c r="J13" s="3352"/>
    </row>
    <row r="14" spans="1:33" ht="15" customHeight="1">
      <c r="C14" s="1434" t="s">
        <v>1947</v>
      </c>
      <c r="D14" s="1435"/>
      <c r="E14" s="1435"/>
      <c r="F14" s="1436"/>
      <c r="G14" s="1436"/>
      <c r="H14" s="1437"/>
      <c r="I14" s="1437"/>
      <c r="J14" s="1437"/>
    </row>
    <row r="15" spans="1:33">
      <c r="C15" s="1438" t="s">
        <v>1948</v>
      </c>
      <c r="D15" s="1423" t="s">
        <v>1949</v>
      </c>
      <c r="F15" s="1439"/>
      <c r="G15" s="1440"/>
      <c r="H15" s="1441"/>
      <c r="I15" s="1441"/>
      <c r="J15" s="1441"/>
    </row>
    <row r="16" spans="1:33">
      <c r="C16" s="1438" t="s">
        <v>1950</v>
      </c>
      <c r="D16" s="1423" t="s">
        <v>1951</v>
      </c>
      <c r="F16" s="1439"/>
      <c r="G16" s="1442"/>
      <c r="H16" s="1441"/>
      <c r="I16" s="1441"/>
      <c r="J16" s="1441"/>
    </row>
    <row r="17" spans="3:10">
      <c r="C17" s="1438" t="s">
        <v>1834</v>
      </c>
      <c r="D17" s="1423" t="s">
        <v>1952</v>
      </c>
      <c r="F17" s="1439"/>
      <c r="G17" s="1442"/>
      <c r="H17" s="1441"/>
      <c r="I17" s="1441"/>
      <c r="J17" s="1441"/>
    </row>
    <row r="18" spans="3:10">
      <c r="C18" s="1438" t="s">
        <v>1953</v>
      </c>
      <c r="D18" s="1424" t="s">
        <v>1954</v>
      </c>
      <c r="E18" s="1424"/>
      <c r="F18" s="1439"/>
      <c r="G18" s="1442"/>
      <c r="H18" s="1441"/>
      <c r="I18" s="1441"/>
      <c r="J18" s="1441"/>
    </row>
    <row r="19" spans="3:10">
      <c r="C19" s="1438" t="s">
        <v>1955</v>
      </c>
      <c r="D19" s="1424" t="s">
        <v>1956</v>
      </c>
      <c r="E19" s="1424"/>
      <c r="F19" s="1439"/>
      <c r="G19" s="1442"/>
      <c r="H19" s="1441"/>
      <c r="I19" s="1441"/>
      <c r="J19" s="1441"/>
    </row>
    <row r="20" spans="3:10">
      <c r="C20" s="1438" t="s">
        <v>1957</v>
      </c>
      <c r="D20" s="1424" t="s">
        <v>1958</v>
      </c>
      <c r="E20" s="1443"/>
      <c r="F20" s="1444"/>
      <c r="G20" s="1442"/>
      <c r="H20" s="1441"/>
      <c r="I20" s="1441"/>
      <c r="J20" s="1441"/>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8" t="s">
        <v>1960</v>
      </c>
      <c r="D23" s="1424" t="s">
        <v>1961</v>
      </c>
      <c r="E23" s="1424"/>
      <c r="F23" s="1857">
        <v>4</v>
      </c>
      <c r="G23" s="1442">
        <v>200000</v>
      </c>
      <c r="H23" s="1441" t="s">
        <v>2642</v>
      </c>
      <c r="I23" s="1441" t="s">
        <v>2643</v>
      </c>
      <c r="J23" s="1441" t="s">
        <v>2645</v>
      </c>
    </row>
    <row r="24" spans="3:10">
      <c r="C24" s="1438" t="s">
        <v>1962</v>
      </c>
      <c r="D24" s="1424" t="s">
        <v>1963</v>
      </c>
      <c r="E24" s="1424"/>
      <c r="F24" s="1858">
        <v>1.7424999999999999</v>
      </c>
      <c r="G24" s="1442">
        <f>3000+5000+60000+9000+57720</f>
        <v>134720</v>
      </c>
      <c r="H24" s="1441" t="s">
        <v>2642</v>
      </c>
      <c r="I24" s="1441" t="s">
        <v>2643</v>
      </c>
      <c r="J24" s="1441" t="s">
        <v>2645</v>
      </c>
    </row>
    <row r="25" spans="3:10">
      <c r="C25" s="1438" t="s">
        <v>1964</v>
      </c>
      <c r="D25" s="1423" t="s">
        <v>1952</v>
      </c>
      <c r="E25" s="1424"/>
      <c r="F25" s="1439"/>
      <c r="G25" s="1442"/>
      <c r="H25" s="1441"/>
      <c r="I25" s="1441"/>
      <c r="J25" s="1441"/>
    </row>
    <row r="26" spans="3:10">
      <c r="C26" s="1438" t="s">
        <v>1965</v>
      </c>
      <c r="D26" s="1424" t="s">
        <v>1966</v>
      </c>
      <c r="E26" s="1424"/>
      <c r="F26" s="1439"/>
      <c r="G26" s="1442"/>
      <c r="H26" s="1441"/>
      <c r="I26" s="1441"/>
      <c r="J26" s="1441"/>
    </row>
    <row r="27" spans="3:10">
      <c r="C27" s="1438" t="s">
        <v>1967</v>
      </c>
      <c r="D27" s="1424" t="s">
        <v>1956</v>
      </c>
      <c r="E27" s="1424"/>
      <c r="F27" s="1439"/>
      <c r="G27" s="1442"/>
      <c r="H27" s="1441"/>
      <c r="I27" s="1441"/>
      <c r="J27" s="1441"/>
    </row>
    <row r="28" spans="3:10">
      <c r="C28" s="1438" t="s">
        <v>1968</v>
      </c>
      <c r="D28" s="1424" t="s">
        <v>1958</v>
      </c>
      <c r="E28" s="1424"/>
      <c r="F28" s="1439"/>
      <c r="G28" s="1442"/>
      <c r="H28" s="1441"/>
      <c r="I28" s="1441"/>
      <c r="J28" s="1441"/>
    </row>
    <row r="29" spans="3:10">
      <c r="C29" s="1453"/>
      <c r="D29" s="1433"/>
      <c r="E29" s="1433"/>
      <c r="F29" s="1439"/>
      <c r="G29" s="1442"/>
      <c r="H29" s="1441"/>
      <c r="I29" s="1441"/>
      <c r="J29" s="1441"/>
    </row>
    <row r="30" spans="3:10">
      <c r="C30" s="1454" t="s">
        <v>1969</v>
      </c>
      <c r="D30" s="1449"/>
      <c r="E30" s="1449"/>
      <c r="F30" s="1455"/>
      <c r="G30" s="1456"/>
      <c r="H30" s="1457"/>
      <c r="I30" s="1457"/>
      <c r="J30" s="1457"/>
    </row>
    <row r="31" spans="3:10">
      <c r="C31" s="1438"/>
      <c r="D31" s="1458" t="s">
        <v>2639</v>
      </c>
      <c r="E31" s="1458"/>
      <c r="F31" s="1439"/>
      <c r="G31" s="1442">
        <v>76986</v>
      </c>
      <c r="H31" s="1441" t="s">
        <v>2642</v>
      </c>
      <c r="I31" s="1441" t="s">
        <v>2643</v>
      </c>
      <c r="J31" s="1441" t="s">
        <v>2645</v>
      </c>
    </row>
    <row r="32" spans="3:10">
      <c r="C32" s="1438"/>
      <c r="D32" s="1458" t="s">
        <v>2640</v>
      </c>
      <c r="E32" s="1458"/>
      <c r="F32" s="1439"/>
      <c r="G32" s="1442">
        <f>5000+3000+7294+5000</f>
        <v>20294</v>
      </c>
      <c r="H32" s="1441" t="s">
        <v>2642</v>
      </c>
      <c r="I32" s="1441" t="s">
        <v>2644</v>
      </c>
      <c r="J32" s="1441" t="s">
        <v>2645</v>
      </c>
    </row>
    <row r="33" spans="3:10">
      <c r="C33" s="1438"/>
      <c r="D33" s="1459" t="s">
        <v>2641</v>
      </c>
      <c r="E33" s="1458"/>
      <c r="F33" s="1439"/>
      <c r="G33" s="1442">
        <v>43200</v>
      </c>
      <c r="H33" s="1441" t="s">
        <v>2642</v>
      </c>
      <c r="I33" s="1441" t="s">
        <v>2643</v>
      </c>
      <c r="J33" s="1441" t="s">
        <v>2645</v>
      </c>
    </row>
    <row r="34" spans="3:10">
      <c r="C34" s="1438"/>
      <c r="D34" s="1861" t="s">
        <v>2664</v>
      </c>
      <c r="E34" s="1861"/>
      <c r="F34" s="1439"/>
      <c r="G34" s="1442">
        <v>8800</v>
      </c>
      <c r="H34" s="1441" t="s">
        <v>2665</v>
      </c>
      <c r="I34" s="1441" t="s">
        <v>2666</v>
      </c>
      <c r="J34" s="1441" t="s">
        <v>2645</v>
      </c>
    </row>
    <row r="35" spans="3:10">
      <c r="C35" s="1438"/>
      <c r="F35" s="1460"/>
      <c r="G35" s="1460"/>
      <c r="H35" s="1460"/>
      <c r="I35" s="1460"/>
      <c r="J35" s="1460"/>
    </row>
    <row r="36" spans="3:10">
      <c r="C36" s="1461" t="s">
        <v>967</v>
      </c>
      <c r="D36" s="1462"/>
      <c r="E36" s="1462"/>
      <c r="F36" s="1463"/>
      <c r="G36" s="1464">
        <f>SUM(G15:G34)</f>
        <v>484000</v>
      </c>
      <c r="H36" s="1465"/>
      <c r="I36" s="1465"/>
      <c r="J36" s="1465"/>
    </row>
    <row r="37" spans="3:10"/>
    <row r="38" spans="3:10" ht="16.5">
      <c r="C38" s="1466" t="s">
        <v>1970</v>
      </c>
    </row>
    <row r="39" spans="3:10" s="1468" customFormat="1" ht="17.25" customHeight="1">
      <c r="C39" s="1467" t="s">
        <v>1971</v>
      </c>
    </row>
    <row r="40" spans="3:10" s="1468" customFormat="1" ht="14.5">
      <c r="C40" s="1468" t="s">
        <v>1972</v>
      </c>
    </row>
    <row r="41" spans="3:10" s="1468" customFormat="1"/>
    <row r="42" spans="3:10" s="1468" customFormat="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1468" customFormat="1" hidden="1"/>
    <row r="55"/>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 sqref="A6"/>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624096</v>
      </c>
      <c r="G4" s="354">
        <f>E4*$C$4</f>
        <v>639698.39999999991</v>
      </c>
      <c r="I4" s="354">
        <f>G4*$C$4</f>
        <v>655690.85999999987</v>
      </c>
      <c r="K4" s="354">
        <f>I4*$C$4</f>
        <v>672083.13149999978</v>
      </c>
      <c r="M4" s="354">
        <f>K4*$C$4</f>
        <v>688885.20978749974</v>
      </c>
      <c r="O4" s="354">
        <f>M4*$C$4</f>
        <v>706107.34003218717</v>
      </c>
      <c r="Q4" s="354">
        <f>O4*$C$4</f>
        <v>723760.02353299176</v>
      </c>
      <c r="S4" s="354">
        <f>Q4*$C$4</f>
        <v>741854.0241213165</v>
      </c>
      <c r="U4" s="354">
        <f>S4*$C$4</f>
        <v>760400.37472434936</v>
      </c>
      <c r="W4" s="354">
        <f>U4*$C$4</f>
        <v>779410.38409245806</v>
      </c>
      <c r="Y4" s="354">
        <f>W4*$C$4</f>
        <v>798895.64369476947</v>
      </c>
      <c r="AA4" s="354">
        <f>Y4*$C$4</f>
        <v>818868.03478713869</v>
      </c>
      <c r="AC4" s="354">
        <f>AA4*$C$4</f>
        <v>839339.73565681709</v>
      </c>
      <c r="AE4" s="354">
        <f>AC4*$C$4</f>
        <v>860323.22904823744</v>
      </c>
      <c r="AG4" s="354">
        <f>AE4*$C$4</f>
        <v>881831.30977444327</v>
      </c>
    </row>
    <row r="5" spans="1:34" s="339" customFormat="1" ht="14">
      <c r="B5" s="339" t="s">
        <v>900</v>
      </c>
      <c r="C5" s="375">
        <f>IF(Application!$D$210="Special Needs",0.1,0.05)</f>
        <v>0.1</v>
      </c>
      <c r="E5" s="356">
        <f>-E4*$C$5</f>
        <v>-62409.600000000006</v>
      </c>
      <c r="F5" s="356"/>
      <c r="G5" s="356">
        <f>-G4*$C$5</f>
        <v>-63969.84</v>
      </c>
      <c r="H5" s="356"/>
      <c r="I5" s="356">
        <f>-I4*$C$5</f>
        <v>-65569.085999999996</v>
      </c>
      <c r="J5" s="356"/>
      <c r="K5" s="356">
        <f>-K4*$C$5</f>
        <v>-67208.313149999987</v>
      </c>
      <c r="L5" s="356"/>
      <c r="M5" s="356">
        <f>-M4*$C$5</f>
        <v>-68888.520978749977</v>
      </c>
      <c r="N5" s="356"/>
      <c r="O5" s="356">
        <f>-O4*$C$5</f>
        <v>-70610.73400321872</v>
      </c>
      <c r="P5" s="356"/>
      <c r="Q5" s="356">
        <f>-Q4*$C$5</f>
        <v>-72376.002353299176</v>
      </c>
      <c r="R5" s="356"/>
      <c r="S5" s="356">
        <f>-S4*$C$5</f>
        <v>-74185.402412131647</v>
      </c>
      <c r="T5" s="356"/>
      <c r="U5" s="356">
        <f>-U4*$C$5</f>
        <v>-76040.037472434939</v>
      </c>
      <c r="V5" s="356"/>
      <c r="W5" s="356">
        <f>-W4*$C$5</f>
        <v>-77941.038409245812</v>
      </c>
      <c r="X5" s="356"/>
      <c r="Y5" s="356">
        <f>-Y4*$C$5</f>
        <v>-79889.564369476953</v>
      </c>
      <c r="Z5" s="356"/>
      <c r="AA5" s="356">
        <f>-AA4*$C$5</f>
        <v>-81886.803478713875</v>
      </c>
      <c r="AB5" s="356"/>
      <c r="AC5" s="356">
        <f>-AC4*$C$5</f>
        <v>-83933.973565681721</v>
      </c>
      <c r="AD5" s="356"/>
      <c r="AE5" s="356">
        <f>-AE4*$C$5</f>
        <v>-86032.322904823755</v>
      </c>
      <c r="AF5" s="356"/>
      <c r="AG5" s="356">
        <f>-AG4*$C$5</f>
        <v>-88183.130977444336</v>
      </c>
    </row>
    <row r="6" spans="1:34" s="339" customFormat="1" ht="14">
      <c r="A6" s="339" t="s">
        <v>898</v>
      </c>
      <c r="C6" s="374">
        <v>1.0249999999999999</v>
      </c>
      <c r="E6" s="357">
        <f>Application!Z807</f>
        <v>789888</v>
      </c>
      <c r="F6" s="357"/>
      <c r="G6" s="357">
        <f>E6*$C$6</f>
        <v>809635.2</v>
      </c>
      <c r="H6" s="357"/>
      <c r="I6" s="357">
        <f>G6*$C$6</f>
        <v>829876.07999999984</v>
      </c>
      <c r="J6" s="357"/>
      <c r="K6" s="357">
        <f>I6*$C$6</f>
        <v>850622.98199999973</v>
      </c>
      <c r="L6" s="357"/>
      <c r="M6" s="357">
        <f>K6*$C$6</f>
        <v>871888.55654999963</v>
      </c>
      <c r="N6" s="357"/>
      <c r="O6" s="357">
        <f>M6*$C$6</f>
        <v>893685.77046374953</v>
      </c>
      <c r="P6" s="357"/>
      <c r="Q6" s="357">
        <f>O6*$C$6</f>
        <v>916027.91472534323</v>
      </c>
      <c r="R6" s="357"/>
      <c r="S6" s="357">
        <f>Q6*$C$6</f>
        <v>938928.61259347678</v>
      </c>
      <c r="T6" s="357"/>
      <c r="U6" s="357">
        <f>S6*$C$6</f>
        <v>962401.8279083136</v>
      </c>
      <c r="V6" s="357"/>
      <c r="W6" s="357">
        <f>U6*$C$6</f>
        <v>986461.8736060214</v>
      </c>
      <c r="X6" s="357"/>
      <c r="Y6" s="357">
        <f>W6*$C$6</f>
        <v>1011123.4204461719</v>
      </c>
      <c r="Z6" s="357"/>
      <c r="AA6" s="357">
        <f>Y6*$C$6</f>
        <v>1036401.5059573262</v>
      </c>
      <c r="AB6" s="357"/>
      <c r="AC6" s="357">
        <f>AA6*$C$6</f>
        <v>1062311.5436062592</v>
      </c>
      <c r="AD6" s="357"/>
      <c r="AE6" s="357">
        <f>AC6*$C$6</f>
        <v>1088869.3321964156</v>
      </c>
      <c r="AF6" s="357"/>
      <c r="AG6" s="357">
        <f>AE6*$C$6</f>
        <v>1116091.065501326</v>
      </c>
    </row>
    <row r="7" spans="1:34" s="339" customFormat="1" ht="14">
      <c r="B7" s="339" t="s">
        <v>900</v>
      </c>
      <c r="C7" s="375">
        <f>IF(Application!$D$210="Special Needs",0.1,0.05)</f>
        <v>0.1</v>
      </c>
      <c r="E7" s="356">
        <f>-E6*$C$7</f>
        <v>-78988.800000000003</v>
      </c>
      <c r="F7" s="356"/>
      <c r="G7" s="356">
        <f>-G6*$C$7</f>
        <v>-80963.520000000004</v>
      </c>
      <c r="H7" s="356"/>
      <c r="I7" s="356">
        <f>-I6*$C$7</f>
        <v>-82987.607999999993</v>
      </c>
      <c r="J7" s="356"/>
      <c r="K7" s="356">
        <f>-K6*$C$7</f>
        <v>-85062.298199999976</v>
      </c>
      <c r="L7" s="356"/>
      <c r="M7" s="356">
        <f>-M6*$C$7</f>
        <v>-87188.855654999963</v>
      </c>
      <c r="N7" s="356"/>
      <c r="O7" s="356">
        <f>-O6*$C$7</f>
        <v>-89368.577046374965</v>
      </c>
      <c r="P7" s="356"/>
      <c r="Q7" s="356">
        <f>-Q6*$C$7</f>
        <v>-91602.791472534329</v>
      </c>
      <c r="R7" s="356"/>
      <c r="S7" s="356">
        <f>-S6*$C$7</f>
        <v>-93892.861259347686</v>
      </c>
      <c r="T7" s="356"/>
      <c r="U7" s="356">
        <f>-U6*$C$7</f>
        <v>-96240.182790831372</v>
      </c>
      <c r="V7" s="356"/>
      <c r="W7" s="356">
        <f>-W6*$C$7</f>
        <v>-98646.18736060214</v>
      </c>
      <c r="X7" s="356"/>
      <c r="Y7" s="356">
        <f>-Y6*$C$7</f>
        <v>-101112.34204461719</v>
      </c>
      <c r="Z7" s="356"/>
      <c r="AA7" s="356">
        <f>-AA6*$C$7</f>
        <v>-103640.15059573262</v>
      </c>
      <c r="AB7" s="356"/>
      <c r="AC7" s="356">
        <f>-AC6*$C$7</f>
        <v>-106231.15436062592</v>
      </c>
      <c r="AD7" s="356"/>
      <c r="AE7" s="356">
        <f>-AE6*$C$7</f>
        <v>-108886.93321964156</v>
      </c>
      <c r="AF7" s="356"/>
      <c r="AG7" s="356">
        <f>-AG6*$C$7</f>
        <v>-111609.10655013261</v>
      </c>
    </row>
    <row r="8" spans="1:34" s="339" customFormat="1" ht="14">
      <c r="A8" s="339" t="s">
        <v>295</v>
      </c>
      <c r="C8" s="374">
        <v>1.0249999999999999</v>
      </c>
      <c r="E8" s="357">
        <f>Application!Z815</f>
        <v>3738</v>
      </c>
      <c r="F8" s="357"/>
      <c r="G8" s="357">
        <f>E8*$C$8</f>
        <v>3831.45</v>
      </c>
      <c r="H8" s="357"/>
      <c r="I8" s="357">
        <f>G8*$C$8</f>
        <v>3927.2362499999995</v>
      </c>
      <c r="J8" s="357"/>
      <c r="K8" s="357">
        <f>I8*$C$8</f>
        <v>4025.4171562499992</v>
      </c>
      <c r="L8" s="357"/>
      <c r="M8" s="357">
        <f>K8*$C$8</f>
        <v>4126.0525851562488</v>
      </c>
      <c r="N8" s="357"/>
      <c r="O8" s="357">
        <f>M8*$C$8</f>
        <v>4229.203899785155</v>
      </c>
      <c r="P8" s="357"/>
      <c r="Q8" s="357">
        <f>O8*$C$8</f>
        <v>4334.9339972797834</v>
      </c>
      <c r="R8" s="357"/>
      <c r="S8" s="357">
        <f>Q8*$C$8</f>
        <v>4443.3073472117776</v>
      </c>
      <c r="T8" s="357"/>
      <c r="U8" s="357">
        <f>S8*$C$8</f>
        <v>4554.390030892072</v>
      </c>
      <c r="V8" s="357"/>
      <c r="W8" s="357">
        <f>U8*$C$8</f>
        <v>4668.2497816643736</v>
      </c>
      <c r="X8" s="357"/>
      <c r="Y8" s="357">
        <f>W8*$C$8</f>
        <v>4784.9560262059822</v>
      </c>
      <c r="Z8" s="357"/>
      <c r="AA8" s="357">
        <f>Y8*$C$8</f>
        <v>4904.5799268611318</v>
      </c>
      <c r="AB8" s="357"/>
      <c r="AC8" s="357">
        <f>AA8*$C$8</f>
        <v>5027.1944250326596</v>
      </c>
      <c r="AD8" s="357"/>
      <c r="AE8" s="357">
        <f>AC8*$C$8</f>
        <v>5152.8742856584759</v>
      </c>
      <c r="AF8" s="357"/>
      <c r="AG8" s="357">
        <f>AE8*$C$8</f>
        <v>5281.6961427999377</v>
      </c>
    </row>
    <row r="9" spans="1:34" s="339" customFormat="1" ht="14">
      <c r="B9" s="339" t="s">
        <v>900</v>
      </c>
      <c r="C9" s="375">
        <f>IF(Application!$D$210="Special Needs",0.1,0.05)</f>
        <v>0.1</v>
      </c>
      <c r="E9" s="373">
        <f>-E8*$C$9</f>
        <v>-373.8</v>
      </c>
      <c r="F9" s="356"/>
      <c r="G9" s="373">
        <f>-G8*$C$9</f>
        <v>-383.14499999999998</v>
      </c>
      <c r="H9" s="356"/>
      <c r="I9" s="373">
        <f>-I8*$C$9</f>
        <v>-392.72362499999997</v>
      </c>
      <c r="J9" s="356"/>
      <c r="K9" s="373">
        <f>-K8*$C$9</f>
        <v>-402.54171562499994</v>
      </c>
      <c r="L9" s="356"/>
      <c r="M9" s="373">
        <f>-M8*$C$9</f>
        <v>-412.60525851562488</v>
      </c>
      <c r="N9" s="356"/>
      <c r="O9" s="373">
        <f>-O8*$C$9</f>
        <v>-422.92038997851552</v>
      </c>
      <c r="P9" s="356"/>
      <c r="Q9" s="373">
        <f>-Q8*$C$9</f>
        <v>-433.49339972797839</v>
      </c>
      <c r="R9" s="356"/>
      <c r="S9" s="373">
        <f>-S8*$C$9</f>
        <v>-444.33073472117781</v>
      </c>
      <c r="T9" s="356"/>
      <c r="U9" s="373">
        <f>-U8*$C$9</f>
        <v>-455.43900308920723</v>
      </c>
      <c r="V9" s="356"/>
      <c r="W9" s="373">
        <f>-W8*$C$9</f>
        <v>-466.8249781664374</v>
      </c>
      <c r="X9" s="356"/>
      <c r="Y9" s="373">
        <f>-Y8*$C$9</f>
        <v>-478.49560262059822</v>
      </c>
      <c r="Z9" s="356"/>
      <c r="AA9" s="373">
        <f>-AA8*$C$9</f>
        <v>-490.45799268611319</v>
      </c>
      <c r="AB9" s="356"/>
      <c r="AC9" s="373">
        <f>-AC8*$C$9</f>
        <v>-502.71944250326601</v>
      </c>
      <c r="AD9" s="356"/>
      <c r="AE9" s="373">
        <f>-AE8*$C$9</f>
        <v>-515.28742856584756</v>
      </c>
      <c r="AF9" s="356"/>
      <c r="AG9" s="373">
        <f>-AG8*$C$9</f>
        <v>-528.16961427999377</v>
      </c>
    </row>
    <row r="10" spans="1:34" s="358" customFormat="1" ht="14">
      <c r="A10" s="358" t="s">
        <v>921</v>
      </c>
      <c r="C10" s="349"/>
      <c r="E10" s="358">
        <f>SUM(E4:E9)</f>
        <v>1275949.7999999998</v>
      </c>
      <c r="G10" s="358">
        <f>SUM(G4:G9)</f>
        <v>1307848.5449999997</v>
      </c>
      <c r="I10" s="358">
        <f>SUM(I4:I9)</f>
        <v>1340544.7586249998</v>
      </c>
      <c r="K10" s="358">
        <f>SUM(K4:K9)</f>
        <v>1374058.3775906246</v>
      </c>
      <c r="M10" s="358">
        <f>SUM(M4:M9)</f>
        <v>1408409.8370303898</v>
      </c>
      <c r="O10" s="358">
        <f>SUM(O4:O9)</f>
        <v>1443620.0829561497</v>
      </c>
      <c r="Q10" s="358">
        <f>SUM(Q4:Q9)</f>
        <v>1479710.585030053</v>
      </c>
      <c r="S10" s="358">
        <f>SUM(S4:S9)</f>
        <v>1516703.3496558045</v>
      </c>
      <c r="U10" s="358">
        <f>SUM(U4:U9)</f>
        <v>1554620.9333971995</v>
      </c>
      <c r="W10" s="358">
        <f>SUM(W4:W9)</f>
        <v>1593486.4567321294</v>
      </c>
      <c r="Y10" s="358">
        <f>SUM(Y4:Y9)</f>
        <v>1633323.6181504326</v>
      </c>
      <c r="AA10" s="358">
        <f>SUM(AA4:AA9)</f>
        <v>1674156.7086041933</v>
      </c>
      <c r="AC10" s="358">
        <f>SUM(AC4:AC9)</f>
        <v>1716010.6263192981</v>
      </c>
      <c r="AE10" s="358">
        <f>SUM(AE4:AE9)</f>
        <v>1758910.8919772806</v>
      </c>
      <c r="AG10" s="358">
        <f>SUM(AG4:AG9)</f>
        <v>1802883.6642767121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156969</v>
      </c>
      <c r="G14" s="354">
        <f>E14*$C$13</f>
        <v>162462.91499999998</v>
      </c>
      <c r="I14" s="354">
        <f>G14*$C$13</f>
        <v>168149.11702499996</v>
      </c>
      <c r="K14" s="354">
        <f>I14*$C$13</f>
        <v>174034.33612087494</v>
      </c>
      <c r="M14" s="354">
        <f>K14*$C$13</f>
        <v>180125.53788510556</v>
      </c>
      <c r="O14" s="354">
        <f>M14*$C$13</f>
        <v>186429.93171108424</v>
      </c>
      <c r="Q14" s="354">
        <f>O14*$C$13</f>
        <v>192954.97932097217</v>
      </c>
      <c r="S14" s="354">
        <f>Q14*$C$13</f>
        <v>199708.40359720617</v>
      </c>
      <c r="U14" s="354">
        <f>S14*$C$13</f>
        <v>206698.19772310837</v>
      </c>
      <c r="W14" s="354">
        <f>U14*$C$13</f>
        <v>213932.63464341714</v>
      </c>
      <c r="Y14" s="354">
        <f>W14*$C$13</f>
        <v>221420.27685593674</v>
      </c>
      <c r="AA14" s="354">
        <f>Y14*$C$13</f>
        <v>229169.9865458945</v>
      </c>
      <c r="AC14" s="354">
        <f>AA14*$C$13</f>
        <v>237190.93607500079</v>
      </c>
      <c r="AE14" s="354">
        <f>AC14*$C$13</f>
        <v>245492.61883762581</v>
      </c>
      <c r="AG14" s="354">
        <f>AE14*$C$13</f>
        <v>254084.86049694268</v>
      </c>
    </row>
    <row r="15" spans="1:34" s="339" customFormat="1" ht="14">
      <c r="A15" s="339" t="s">
        <v>353</v>
      </c>
      <c r="C15" s="368"/>
      <c r="E15" s="357">
        <f>Application!W847</f>
        <v>63360</v>
      </c>
      <c r="F15" s="357"/>
      <c r="G15" s="357">
        <f t="shared" ref="G15:AG20" si="0">E15*$C$13</f>
        <v>65577.599999999991</v>
      </c>
      <c r="H15" s="357"/>
      <c r="I15" s="357">
        <f t="shared" si="0"/>
        <v>67872.815999999992</v>
      </c>
      <c r="J15" s="357"/>
      <c r="K15" s="357">
        <f t="shared" si="0"/>
        <v>70248.364559999987</v>
      </c>
      <c r="L15" s="357"/>
      <c r="M15" s="357">
        <f t="shared" si="0"/>
        <v>72707.057319599975</v>
      </c>
      <c r="N15" s="357"/>
      <c r="O15" s="357">
        <f t="shared" si="0"/>
        <v>75251.804325785968</v>
      </c>
      <c r="P15" s="357"/>
      <c r="Q15" s="357">
        <f t="shared" si="0"/>
        <v>77885.617477188469</v>
      </c>
      <c r="R15" s="357"/>
      <c r="S15" s="357">
        <f t="shared" si="0"/>
        <v>80611.614088890055</v>
      </c>
      <c r="T15" s="357"/>
      <c r="U15" s="357">
        <f t="shared" si="0"/>
        <v>83433.020582001205</v>
      </c>
      <c r="V15" s="357"/>
      <c r="W15" s="357">
        <f t="shared" si="0"/>
        <v>86353.176302371241</v>
      </c>
      <c r="X15" s="357"/>
      <c r="Y15" s="357">
        <f t="shared" si="0"/>
        <v>89375.537472954224</v>
      </c>
      <c r="Z15" s="357"/>
      <c r="AA15" s="357">
        <f t="shared" si="0"/>
        <v>92503.68128450762</v>
      </c>
      <c r="AB15" s="357"/>
      <c r="AC15" s="357">
        <f t="shared" si="0"/>
        <v>95741.310129465375</v>
      </c>
      <c r="AD15" s="357"/>
      <c r="AE15" s="357">
        <f t="shared" si="0"/>
        <v>99092.255983996656</v>
      </c>
      <c r="AF15" s="357"/>
      <c r="AG15" s="357">
        <f t="shared" si="0"/>
        <v>102560.48494343653</v>
      </c>
    </row>
    <row r="16" spans="1:34" s="339" customFormat="1" ht="14">
      <c r="A16" s="339" t="s">
        <v>593</v>
      </c>
      <c r="C16" s="368"/>
      <c r="E16" s="357">
        <f>Application!W853</f>
        <v>95000</v>
      </c>
      <c r="F16" s="357"/>
      <c r="G16" s="357">
        <f t="shared" si="0"/>
        <v>98324.999999999985</v>
      </c>
      <c r="H16" s="357"/>
      <c r="I16" s="357">
        <f t="shared" si="0"/>
        <v>101766.37499999997</v>
      </c>
      <c r="J16" s="357"/>
      <c r="K16" s="357">
        <f t="shared" si="0"/>
        <v>105328.19812499997</v>
      </c>
      <c r="L16" s="357"/>
      <c r="M16" s="357">
        <f t="shared" si="0"/>
        <v>109014.68505937496</v>
      </c>
      <c r="N16" s="357"/>
      <c r="O16" s="357">
        <f t="shared" si="0"/>
        <v>112830.19903645306</v>
      </c>
      <c r="P16" s="357"/>
      <c r="Q16" s="357">
        <f t="shared" si="0"/>
        <v>116779.25600272891</v>
      </c>
      <c r="R16" s="357"/>
      <c r="S16" s="357">
        <f t="shared" si="0"/>
        <v>120866.52996282441</v>
      </c>
      <c r="T16" s="357"/>
      <c r="U16" s="357">
        <f t="shared" si="0"/>
        <v>125096.85851152326</v>
      </c>
      <c r="V16" s="357"/>
      <c r="W16" s="357">
        <f t="shared" si="0"/>
        <v>129475.24855942656</v>
      </c>
      <c r="X16" s="357"/>
      <c r="Y16" s="357">
        <f t="shared" si="0"/>
        <v>134006.88225900647</v>
      </c>
      <c r="Z16" s="357"/>
      <c r="AA16" s="357">
        <f t="shared" si="0"/>
        <v>138697.12313807168</v>
      </c>
      <c r="AB16" s="357"/>
      <c r="AC16" s="357">
        <f t="shared" si="0"/>
        <v>143551.52244790416</v>
      </c>
      <c r="AD16" s="357"/>
      <c r="AE16" s="357">
        <f t="shared" si="0"/>
        <v>148575.8257335808</v>
      </c>
      <c r="AF16" s="357"/>
      <c r="AG16" s="357">
        <f t="shared" si="0"/>
        <v>153775.97963425613</v>
      </c>
    </row>
    <row r="17" spans="1:33" s="339" customFormat="1" ht="14">
      <c r="A17" s="339" t="s">
        <v>904</v>
      </c>
      <c r="C17" s="368"/>
      <c r="E17" s="357">
        <f>Application!W860</f>
        <v>275968</v>
      </c>
      <c r="F17" s="357"/>
      <c r="G17" s="357">
        <f t="shared" si="0"/>
        <v>285626.88</v>
      </c>
      <c r="H17" s="357"/>
      <c r="I17" s="357">
        <f t="shared" si="0"/>
        <v>295623.82079999999</v>
      </c>
      <c r="J17" s="357"/>
      <c r="K17" s="357">
        <f t="shared" si="0"/>
        <v>305970.65452799998</v>
      </c>
      <c r="L17" s="357"/>
      <c r="M17" s="357">
        <f t="shared" si="0"/>
        <v>316679.62743647996</v>
      </c>
      <c r="N17" s="357"/>
      <c r="O17" s="357">
        <f t="shared" si="0"/>
        <v>327763.41439675674</v>
      </c>
      <c r="P17" s="357"/>
      <c r="Q17" s="357">
        <f t="shared" si="0"/>
        <v>339235.13390064321</v>
      </c>
      <c r="R17" s="357"/>
      <c r="S17" s="357">
        <f t="shared" si="0"/>
        <v>351108.36358716572</v>
      </c>
      <c r="T17" s="357"/>
      <c r="U17" s="357">
        <f t="shared" si="0"/>
        <v>363397.15631271648</v>
      </c>
      <c r="V17" s="357"/>
      <c r="W17" s="357">
        <f t="shared" si="0"/>
        <v>376116.05678366154</v>
      </c>
      <c r="X17" s="357"/>
      <c r="Y17" s="357">
        <f t="shared" si="0"/>
        <v>389280.11877108965</v>
      </c>
      <c r="Z17" s="357"/>
      <c r="AA17" s="357">
        <f t="shared" si="0"/>
        <v>402904.92292807775</v>
      </c>
      <c r="AB17" s="357"/>
      <c r="AC17" s="357">
        <f t="shared" si="0"/>
        <v>417006.59523056046</v>
      </c>
      <c r="AD17" s="357"/>
      <c r="AE17" s="357">
        <f t="shared" si="0"/>
        <v>431601.82606363005</v>
      </c>
      <c r="AF17" s="357"/>
      <c r="AG17" s="357">
        <f t="shared" si="0"/>
        <v>446707.88997585705</v>
      </c>
    </row>
    <row r="18" spans="1:33" s="339" customFormat="1" ht="14">
      <c r="A18" s="339" t="s">
        <v>160</v>
      </c>
      <c r="C18" s="368"/>
      <c r="E18" s="357">
        <f>Application!W861</f>
        <v>62300</v>
      </c>
      <c r="F18" s="357"/>
      <c r="G18" s="357">
        <f t="shared" si="0"/>
        <v>64480.499999999993</v>
      </c>
      <c r="H18" s="357"/>
      <c r="I18" s="357">
        <f t="shared" si="0"/>
        <v>66737.31749999999</v>
      </c>
      <c r="J18" s="357"/>
      <c r="K18" s="357">
        <f t="shared" si="0"/>
        <v>69073.123612499985</v>
      </c>
      <c r="L18" s="357"/>
      <c r="M18" s="357">
        <f t="shared" si="0"/>
        <v>71490.682938937476</v>
      </c>
      <c r="N18" s="357"/>
      <c r="O18" s="357">
        <f t="shared" si="0"/>
        <v>73992.856841800283</v>
      </c>
      <c r="P18" s="357"/>
      <c r="Q18" s="357">
        <f t="shared" si="0"/>
        <v>76582.606831263285</v>
      </c>
      <c r="R18" s="357"/>
      <c r="S18" s="357">
        <f t="shared" si="0"/>
        <v>79262.998070357498</v>
      </c>
      <c r="T18" s="357"/>
      <c r="U18" s="357">
        <f t="shared" si="0"/>
        <v>82037.20300282001</v>
      </c>
      <c r="V18" s="357"/>
      <c r="W18" s="357">
        <f t="shared" si="0"/>
        <v>84908.505107918711</v>
      </c>
      <c r="X18" s="357"/>
      <c r="Y18" s="357">
        <f t="shared" si="0"/>
        <v>87880.302786695858</v>
      </c>
      <c r="Z18" s="357"/>
      <c r="AA18" s="357">
        <f t="shared" si="0"/>
        <v>90956.113384230208</v>
      </c>
      <c r="AB18" s="357"/>
      <c r="AC18" s="357">
        <f t="shared" si="0"/>
        <v>94139.577352678258</v>
      </c>
      <c r="AD18" s="357"/>
      <c r="AE18" s="357">
        <f t="shared" si="0"/>
        <v>97434.462560021988</v>
      </c>
      <c r="AF18" s="357"/>
      <c r="AG18" s="357">
        <f t="shared" si="0"/>
        <v>100844.66874962275</v>
      </c>
    </row>
    <row r="19" spans="1:33" s="339" customFormat="1" ht="14">
      <c r="A19" s="339" t="s">
        <v>408</v>
      </c>
      <c r="C19" s="368"/>
      <c r="E19" s="357">
        <f>Application!W870</f>
        <v>114413</v>
      </c>
      <c r="F19" s="357"/>
      <c r="G19" s="357">
        <f t="shared" si="0"/>
        <v>118417.45499999999</v>
      </c>
      <c r="H19" s="357"/>
      <c r="I19" s="357">
        <f t="shared" si="0"/>
        <v>122562.06592499997</v>
      </c>
      <c r="J19" s="357"/>
      <c r="K19" s="357">
        <f t="shared" si="0"/>
        <v>126851.73823237496</v>
      </c>
      <c r="L19" s="357"/>
      <c r="M19" s="357">
        <f t="shared" si="0"/>
        <v>131291.54907050807</v>
      </c>
      <c r="N19" s="357"/>
      <c r="O19" s="357">
        <f t="shared" si="0"/>
        <v>135886.75328797585</v>
      </c>
      <c r="P19" s="357"/>
      <c r="Q19" s="357">
        <f t="shared" si="0"/>
        <v>140642.78965305499</v>
      </c>
      <c r="R19" s="357"/>
      <c r="S19" s="357">
        <f t="shared" si="0"/>
        <v>145565.28729091192</v>
      </c>
      <c r="T19" s="357"/>
      <c r="U19" s="357">
        <f t="shared" si="0"/>
        <v>150660.07234609383</v>
      </c>
      <c r="V19" s="357"/>
      <c r="W19" s="357">
        <f t="shared" si="0"/>
        <v>155933.17487820709</v>
      </c>
      <c r="X19" s="357"/>
      <c r="Y19" s="357">
        <f t="shared" si="0"/>
        <v>161390.83599894433</v>
      </c>
      <c r="Z19" s="357"/>
      <c r="AA19" s="357">
        <f t="shared" si="0"/>
        <v>167039.51525890737</v>
      </c>
      <c r="AB19" s="357"/>
      <c r="AC19" s="357">
        <f t="shared" si="0"/>
        <v>172885.89829296913</v>
      </c>
      <c r="AD19" s="357"/>
      <c r="AE19" s="357">
        <f t="shared" si="0"/>
        <v>178936.90473322303</v>
      </c>
      <c r="AF19" s="357"/>
      <c r="AG19" s="357">
        <f t="shared" si="0"/>
        <v>185199.6963988858</v>
      </c>
    </row>
    <row r="20" spans="1:33" s="339" customFormat="1" ht="14">
      <c r="A20" s="361" t="s">
        <v>1039</v>
      </c>
      <c r="B20" s="361"/>
      <c r="C20" s="368"/>
      <c r="E20" s="367">
        <f>Application!W877</f>
        <v>10975</v>
      </c>
      <c r="F20" s="357"/>
      <c r="G20" s="367">
        <f t="shared" si="0"/>
        <v>11359.125</v>
      </c>
      <c r="H20" s="357"/>
      <c r="I20" s="367">
        <f t="shared" si="0"/>
        <v>11756.694374999999</v>
      </c>
      <c r="J20" s="357"/>
      <c r="K20" s="367">
        <f t="shared" si="0"/>
        <v>12168.178678124998</v>
      </c>
      <c r="L20" s="357"/>
      <c r="M20" s="367">
        <f t="shared" si="0"/>
        <v>12594.064931859371</v>
      </c>
      <c r="N20" s="357"/>
      <c r="O20" s="367">
        <f t="shared" si="0"/>
        <v>13034.857204474449</v>
      </c>
      <c r="P20" s="357"/>
      <c r="Q20" s="367">
        <f t="shared" si="0"/>
        <v>13491.077206631053</v>
      </c>
      <c r="R20" s="357"/>
      <c r="S20" s="367">
        <f t="shared" si="0"/>
        <v>13963.264908863139</v>
      </c>
      <c r="T20" s="357"/>
      <c r="U20" s="367">
        <f t="shared" si="0"/>
        <v>14451.979180673348</v>
      </c>
      <c r="V20" s="357"/>
      <c r="W20" s="367">
        <f t="shared" si="0"/>
        <v>14957.798451996914</v>
      </c>
      <c r="X20" s="357"/>
      <c r="Y20" s="367">
        <f t="shared" si="0"/>
        <v>15481.321397816804</v>
      </c>
      <c r="Z20" s="357"/>
      <c r="AA20" s="367">
        <f t="shared" si="0"/>
        <v>16023.16764674039</v>
      </c>
      <c r="AB20" s="357"/>
      <c r="AC20" s="367">
        <f t="shared" si="0"/>
        <v>16583.978514376304</v>
      </c>
      <c r="AD20" s="357"/>
      <c r="AE20" s="367">
        <f t="shared" si="0"/>
        <v>17164.417762379475</v>
      </c>
      <c r="AF20" s="357"/>
      <c r="AG20" s="367">
        <f t="shared" si="0"/>
        <v>17765.172384062756</v>
      </c>
    </row>
    <row r="21" spans="1:33" s="358" customFormat="1" ht="14">
      <c r="A21" s="358" t="s">
        <v>905</v>
      </c>
      <c r="C21" s="368"/>
      <c r="E21" s="358">
        <f>SUM(E14:E20)</f>
        <v>778985</v>
      </c>
      <c r="G21" s="358">
        <f>SUM(G14:G20)</f>
        <v>806249.47499999998</v>
      </c>
      <c r="I21" s="358">
        <f>SUM(I14:I20)</f>
        <v>834468.20662499988</v>
      </c>
      <c r="K21" s="358">
        <f>SUM(K14:K20)</f>
        <v>863674.59385687485</v>
      </c>
      <c r="M21" s="358">
        <f>SUM(M14:M20)</f>
        <v>893903.20464186545</v>
      </c>
      <c r="O21" s="358">
        <f>SUM(O14:O20)</f>
        <v>925189.81680433068</v>
      </c>
      <c r="Q21" s="358">
        <f>SUM(Q14:Q20)</f>
        <v>957571.46039248211</v>
      </c>
      <c r="S21" s="358">
        <f>SUM(S14:S20)</f>
        <v>991086.46150621888</v>
      </c>
      <c r="U21" s="358">
        <f>SUM(U14:U20)</f>
        <v>1025774.4876589365</v>
      </c>
      <c r="W21" s="358">
        <f>SUM(W14:W20)</f>
        <v>1061676.5947269993</v>
      </c>
      <c r="Y21" s="358">
        <f>SUM(Y14:Y20)</f>
        <v>1098835.2755424441</v>
      </c>
      <c r="AA21" s="358">
        <f>SUM(AA14:AA20)</f>
        <v>1137294.5101864296</v>
      </c>
      <c r="AC21" s="358">
        <f>SUM(AC14:AC20)</f>
        <v>1177099.8180429544</v>
      </c>
      <c r="AE21" s="358">
        <f>SUM(AE14:AE20)</f>
        <v>1218298.3116744577</v>
      </c>
      <c r="AG21" s="358">
        <f>SUM(AG14:AG20)</f>
        <v>1260938.7525830637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8800</v>
      </c>
      <c r="F26" s="357"/>
      <c r="G26" s="357">
        <f>E26*$C$26</f>
        <v>9108</v>
      </c>
      <c r="H26" s="357"/>
      <c r="I26" s="357">
        <f>G26*$C$26</f>
        <v>9426.7799999999988</v>
      </c>
      <c r="J26" s="357"/>
      <c r="K26" s="357">
        <f>I26*$C$26</f>
        <v>9756.7172999999984</v>
      </c>
      <c r="L26" s="357"/>
      <c r="M26" s="357">
        <f>K26*$C$26</f>
        <v>10098.202405499998</v>
      </c>
      <c r="N26" s="357"/>
      <c r="O26" s="357">
        <f>M26*$C$26</f>
        <v>10451.639489692498</v>
      </c>
      <c r="P26" s="357"/>
      <c r="Q26" s="357">
        <f>O26*$C$26</f>
        <v>10817.446871831735</v>
      </c>
      <c r="R26" s="357"/>
      <c r="S26" s="357">
        <f>Q26*$C$26</f>
        <v>11196.057512345844</v>
      </c>
      <c r="T26" s="357"/>
      <c r="U26" s="357">
        <f>S26*$C$26</f>
        <v>11587.919525277948</v>
      </c>
      <c r="V26" s="357"/>
      <c r="W26" s="357">
        <f>U26*$C$26</f>
        <v>11993.496708662675</v>
      </c>
      <c r="X26" s="357"/>
      <c r="Y26" s="357">
        <f>W26*$C$26</f>
        <v>12413.269093465868</v>
      </c>
      <c r="Z26" s="357"/>
      <c r="AA26" s="357">
        <f>Y26*$C$26</f>
        <v>12847.733511737171</v>
      </c>
      <c r="AB26" s="357"/>
      <c r="AC26" s="357">
        <f>AA26*$C$26</f>
        <v>13297.40418464797</v>
      </c>
      <c r="AD26" s="357"/>
      <c r="AE26" s="357">
        <f>AC26*$C$26</f>
        <v>13762.813331110649</v>
      </c>
      <c r="AF26" s="357"/>
      <c r="AG26" s="357">
        <f>AE26*$C$26</f>
        <v>14244.511797699521</v>
      </c>
    </row>
    <row r="27" spans="1:33" s="339" customFormat="1" ht="14">
      <c r="A27" s="339" t="s">
        <v>908</v>
      </c>
      <c r="C27" s="376"/>
      <c r="E27" s="357">
        <f>Application!AC887</f>
        <v>44500</v>
      </c>
      <c r="F27" s="357"/>
      <c r="G27" s="357">
        <f>$E$27</f>
        <v>44500</v>
      </c>
      <c r="H27" s="357"/>
      <c r="I27" s="357">
        <f>$E$27</f>
        <v>44500</v>
      </c>
      <c r="J27" s="357"/>
      <c r="K27" s="357">
        <f>$E$27</f>
        <v>44500</v>
      </c>
      <c r="L27" s="357"/>
      <c r="M27" s="357">
        <f>$E$27</f>
        <v>44500</v>
      </c>
      <c r="N27" s="357"/>
      <c r="O27" s="357">
        <f>$E$27</f>
        <v>44500</v>
      </c>
      <c r="P27" s="357"/>
      <c r="Q27" s="357">
        <f>$E$27</f>
        <v>44500</v>
      </c>
      <c r="R27" s="357"/>
      <c r="S27" s="357">
        <f>$E$27</f>
        <v>44500</v>
      </c>
      <c r="T27" s="357"/>
      <c r="U27" s="357">
        <f>$E$27</f>
        <v>44500</v>
      </c>
      <c r="V27" s="357"/>
      <c r="W27" s="357">
        <f>$E$27</f>
        <v>44500</v>
      </c>
      <c r="X27" s="357"/>
      <c r="Y27" s="357">
        <f>$E$27</f>
        <v>44500</v>
      </c>
      <c r="Z27" s="357"/>
      <c r="AA27" s="357">
        <f>$E$27</f>
        <v>44500</v>
      </c>
      <c r="AB27" s="357"/>
      <c r="AC27" s="357">
        <f>$E$27</f>
        <v>44500</v>
      </c>
      <c r="AD27" s="357"/>
      <c r="AE27" s="357">
        <f>$E$27</f>
        <v>44500</v>
      </c>
      <c r="AF27" s="357"/>
      <c r="AG27" s="357">
        <f>$E$27</f>
        <v>44500</v>
      </c>
    </row>
    <row r="28" spans="1:33" s="339" customFormat="1" ht="14">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4717</v>
      </c>
      <c r="F29" s="357"/>
      <c r="G29" s="357">
        <f>E29*$C$29</f>
        <v>4811.34</v>
      </c>
      <c r="H29" s="357"/>
      <c r="I29" s="357">
        <f>G29*$C$29</f>
        <v>4907.5668000000005</v>
      </c>
      <c r="J29" s="357"/>
      <c r="K29" s="357">
        <f>I29*$C$29</f>
        <v>5005.7181360000004</v>
      </c>
      <c r="L29" s="357"/>
      <c r="M29" s="357">
        <f>K29*$C$29</f>
        <v>5105.8324987200003</v>
      </c>
      <c r="N29" s="357"/>
      <c r="O29" s="357">
        <f>M29*$C$29</f>
        <v>5207.9491486944007</v>
      </c>
      <c r="P29" s="357"/>
      <c r="Q29" s="357">
        <f>O29*$C$29</f>
        <v>5312.1081316682885</v>
      </c>
      <c r="R29" s="357"/>
      <c r="S29" s="357">
        <f>Q29*$C$29</f>
        <v>5418.3502943016547</v>
      </c>
      <c r="T29" s="357"/>
      <c r="U29" s="357">
        <f>S29*$C$29</f>
        <v>5526.7173001876881</v>
      </c>
      <c r="V29" s="357"/>
      <c r="W29" s="357">
        <f>U29*$C$29</f>
        <v>5637.251646191442</v>
      </c>
      <c r="X29" s="357"/>
      <c r="Y29" s="357">
        <f>W29*$C$29</f>
        <v>5749.996679115271</v>
      </c>
      <c r="Z29" s="357"/>
      <c r="AA29" s="357">
        <f>Y29*$C$29</f>
        <v>5864.9966126975769</v>
      </c>
      <c r="AB29" s="357"/>
      <c r="AC29" s="357">
        <f>AA29*$C$29</f>
        <v>5982.2965449515286</v>
      </c>
      <c r="AD29" s="357"/>
      <c r="AE29" s="357">
        <f>AC29*$C$29</f>
        <v>6101.9424758505593</v>
      </c>
      <c r="AF29" s="357"/>
      <c r="AG29" s="357">
        <f>AE29*$C$29</f>
        <v>6223.9813253675702</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837002</v>
      </c>
      <c r="G34" s="358">
        <f>SUM(G21:G32)</f>
        <v>864668.81499999994</v>
      </c>
      <c r="I34" s="358">
        <f>SUM(I21:I32)</f>
        <v>893302.55342499993</v>
      </c>
      <c r="K34" s="358">
        <f>SUM(K21:K32)</f>
        <v>922937.02929287485</v>
      </c>
      <c r="M34" s="358">
        <f>SUM(M21:M32)</f>
        <v>953607.23954608548</v>
      </c>
      <c r="O34" s="358">
        <f>SUM(O21:O32)</f>
        <v>985349.4054427176</v>
      </c>
      <c r="Q34" s="358">
        <f>SUM(Q21:Q32)</f>
        <v>1018201.0153959822</v>
      </c>
      <c r="S34" s="358">
        <f>SUM(S21:S32)</f>
        <v>1052200.8693128664</v>
      </c>
      <c r="U34" s="358">
        <f>SUM(U21:U32)</f>
        <v>1087389.1244844021</v>
      </c>
      <c r="W34" s="358">
        <f>SUM(W21:W32)</f>
        <v>1123807.3430818534</v>
      </c>
      <c r="Y34" s="358">
        <f>SUM(Y21:Y32)</f>
        <v>1161498.5413150252</v>
      </c>
      <c r="AA34" s="358">
        <f>SUM(AA21:AA32)</f>
        <v>1200507.2403108643</v>
      </c>
      <c r="AC34" s="358">
        <f>SUM(AC21:AC32)</f>
        <v>1240879.5187725541</v>
      </c>
      <c r="AE34" s="358">
        <f>SUM(AE21:AE32)</f>
        <v>1282663.0674814188</v>
      </c>
      <c r="AG34" s="358">
        <f>SUM(AG21:AG32)</f>
        <v>1325907.2457061308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438947.79999999981</v>
      </c>
      <c r="G36" s="358">
        <f>G10-G34</f>
        <v>443179.72999999975</v>
      </c>
      <c r="I36" s="358">
        <f>I10-I34</f>
        <v>447242.20519999985</v>
      </c>
      <c r="K36" s="358">
        <f>K10-K34</f>
        <v>451121.34829774976</v>
      </c>
      <c r="M36" s="358">
        <f>M10-M34</f>
        <v>454802.59748430434</v>
      </c>
      <c r="O36" s="358">
        <f>O10-O34</f>
        <v>458270.67751343211</v>
      </c>
      <c r="Q36" s="358">
        <f>Q10-Q34</f>
        <v>461509.56963407085</v>
      </c>
      <c r="S36" s="358">
        <f>S10-S34</f>
        <v>464502.4803429381</v>
      </c>
      <c r="U36" s="358">
        <f>U10-U34</f>
        <v>467231.80891279737</v>
      </c>
      <c r="W36" s="358">
        <f>W10-W34</f>
        <v>469679.11365027609</v>
      </c>
      <c r="Y36" s="358">
        <f>Y10-Y34</f>
        <v>471825.07683540741</v>
      </c>
      <c r="AA36" s="358">
        <f>AA10-AA34</f>
        <v>473649.468293329</v>
      </c>
      <c r="AC36" s="358">
        <f>AC10-AC34</f>
        <v>475131.10754674394</v>
      </c>
      <c r="AE36" s="358">
        <f>AE10-AE34</f>
        <v>476247.82449586177</v>
      </c>
      <c r="AG36" s="358">
        <f>AG10-AG34</f>
        <v>476976.41857058136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 Tax-Exempt Permanent Loan</v>
      </c>
      <c r="B39" s="361"/>
      <c r="C39" s="355"/>
      <c r="E39" s="357">
        <f>Application!AF637</f>
        <v>371101</v>
      </c>
      <c r="F39" s="357"/>
      <c r="G39" s="357">
        <f>$E$39</f>
        <v>371101</v>
      </c>
      <c r="H39" s="357"/>
      <c r="I39" s="357">
        <f>$E$39</f>
        <v>371101</v>
      </c>
      <c r="J39" s="357"/>
      <c r="K39" s="357">
        <f>$E$39</f>
        <v>371101</v>
      </c>
      <c r="L39" s="357"/>
      <c r="M39" s="357">
        <f>$E$39</f>
        <v>371101</v>
      </c>
      <c r="N39" s="357"/>
      <c r="O39" s="357">
        <f>$E$39</f>
        <v>371101</v>
      </c>
      <c r="P39" s="357"/>
      <c r="Q39" s="357">
        <f>$E$39</f>
        <v>371101</v>
      </c>
      <c r="R39" s="357"/>
      <c r="S39" s="357">
        <f>$E$39</f>
        <v>371101</v>
      </c>
      <c r="T39" s="357"/>
      <c r="U39" s="357">
        <f>$E$39</f>
        <v>371101</v>
      </c>
      <c r="V39" s="357"/>
      <c r="W39" s="357">
        <f>$E$39</f>
        <v>371101</v>
      </c>
      <c r="X39" s="357"/>
      <c r="Y39" s="357">
        <f>$E$39</f>
        <v>371101</v>
      </c>
      <c r="Z39" s="357"/>
      <c r="AA39" s="357">
        <f>$E$39</f>
        <v>371101</v>
      </c>
      <c r="AB39" s="357"/>
      <c r="AC39" s="357">
        <f>$E$39</f>
        <v>371101</v>
      </c>
      <c r="AD39" s="357"/>
      <c r="AE39" s="357">
        <f>$E$39</f>
        <v>371101</v>
      </c>
      <c r="AF39" s="357"/>
      <c r="AG39" s="357">
        <f>$E$39</f>
        <v>371101</v>
      </c>
    </row>
    <row r="40" spans="1:33" s="339" customFormat="1" ht="14">
      <c r="A40" s="360" t="s">
        <v>2648</v>
      </c>
      <c r="B40" s="361"/>
      <c r="C40" s="355"/>
      <c r="E40" s="357">
        <v>7738</v>
      </c>
      <c r="F40" s="357"/>
      <c r="G40" s="357">
        <f>$E$40</f>
        <v>7738</v>
      </c>
      <c r="H40" s="357"/>
      <c r="I40" s="357">
        <f>$E$40</f>
        <v>7738</v>
      </c>
      <c r="J40" s="357"/>
      <c r="K40" s="357">
        <f>$E$40</f>
        <v>7738</v>
      </c>
      <c r="L40" s="357"/>
      <c r="M40" s="357">
        <f>$E$40</f>
        <v>7738</v>
      </c>
      <c r="N40" s="357"/>
      <c r="O40" s="357">
        <f>$E$40</f>
        <v>7738</v>
      </c>
      <c r="P40" s="357"/>
      <c r="Q40" s="357">
        <f>$E$40</f>
        <v>7738</v>
      </c>
      <c r="R40" s="357"/>
      <c r="S40" s="357">
        <f>$E$40</f>
        <v>7738</v>
      </c>
      <c r="T40" s="357"/>
      <c r="U40" s="357">
        <f>$E$40</f>
        <v>7738</v>
      </c>
      <c r="V40" s="357"/>
      <c r="W40" s="357">
        <f>$E$40</f>
        <v>7738</v>
      </c>
      <c r="X40" s="357"/>
      <c r="Y40" s="357">
        <f>$E$40</f>
        <v>7738</v>
      </c>
      <c r="Z40" s="357"/>
      <c r="AA40" s="357">
        <f>$E$40</f>
        <v>7738</v>
      </c>
      <c r="AB40" s="357"/>
      <c r="AC40" s="357">
        <f>$E$40</f>
        <v>7738</v>
      </c>
      <c r="AD40" s="357"/>
      <c r="AE40" s="357">
        <f>$E$40</f>
        <v>7738</v>
      </c>
      <c r="AF40" s="357"/>
      <c r="AG40" s="357">
        <f>$E$40</f>
        <v>7738</v>
      </c>
    </row>
    <row r="41" spans="1:33" s="339" customFormat="1" ht="14">
      <c r="A41" s="360" t="s">
        <v>2649</v>
      </c>
      <c r="B41" s="361"/>
      <c r="C41" s="355"/>
      <c r="E41" s="367">
        <v>2800</v>
      </c>
      <c r="F41" s="357"/>
      <c r="G41" s="367">
        <f>$E$41</f>
        <v>2800</v>
      </c>
      <c r="H41" s="357"/>
      <c r="I41" s="367">
        <f>$E$41</f>
        <v>2800</v>
      </c>
      <c r="J41" s="357"/>
      <c r="K41" s="367">
        <f>$E$41</f>
        <v>2800</v>
      </c>
      <c r="L41" s="357"/>
      <c r="M41" s="367">
        <f>$E$41</f>
        <v>2800</v>
      </c>
      <c r="N41" s="357"/>
      <c r="O41" s="367">
        <f>$E$41</f>
        <v>2800</v>
      </c>
      <c r="P41" s="357"/>
      <c r="Q41" s="367">
        <f>$E$41</f>
        <v>2800</v>
      </c>
      <c r="R41" s="357"/>
      <c r="S41" s="367">
        <f>$E$41</f>
        <v>2800</v>
      </c>
      <c r="T41" s="357"/>
      <c r="U41" s="367">
        <f>$E$41</f>
        <v>2800</v>
      </c>
      <c r="V41" s="357"/>
      <c r="W41" s="367">
        <f>$E$41</f>
        <v>2800</v>
      </c>
      <c r="X41" s="357"/>
      <c r="Y41" s="367">
        <f>$E$41</f>
        <v>2800</v>
      </c>
      <c r="Z41" s="357"/>
      <c r="AA41" s="367">
        <f>$E$41</f>
        <v>2800</v>
      </c>
      <c r="AB41" s="357"/>
      <c r="AC41" s="367">
        <f>$E$41</f>
        <v>2800</v>
      </c>
      <c r="AD41" s="357"/>
      <c r="AE41" s="367">
        <f>$E$41</f>
        <v>2800</v>
      </c>
      <c r="AF41" s="357"/>
      <c r="AG41" s="367">
        <f>$E$41</f>
        <v>2800</v>
      </c>
    </row>
    <row r="42" spans="1:33" s="358" customFormat="1" ht="14">
      <c r="A42" s="358" t="s">
        <v>910</v>
      </c>
      <c r="C42" s="359"/>
      <c r="E42" s="358">
        <f>SUM(E39:E41)</f>
        <v>381639</v>
      </c>
      <c r="G42" s="358">
        <f>SUM(G39:G41)</f>
        <v>381639</v>
      </c>
      <c r="I42" s="358">
        <f>SUM(I39:I41)</f>
        <v>381639</v>
      </c>
      <c r="K42" s="358">
        <f>SUM(K39:K41)</f>
        <v>381639</v>
      </c>
      <c r="M42" s="358">
        <f>SUM(M39:M41)</f>
        <v>381639</v>
      </c>
      <c r="O42" s="358">
        <f>SUM(O39:O41)</f>
        <v>381639</v>
      </c>
      <c r="Q42" s="358">
        <f>SUM(Q39:Q41)</f>
        <v>381639</v>
      </c>
      <c r="S42" s="358">
        <f>SUM(S39:S41)</f>
        <v>381639</v>
      </c>
      <c r="U42" s="358">
        <f>SUM(U39:U41)</f>
        <v>381639</v>
      </c>
      <c r="W42" s="358">
        <f>SUM(W39:W41)</f>
        <v>381639</v>
      </c>
      <c r="Y42" s="358">
        <f>SUM(Y39:Y41)</f>
        <v>381639</v>
      </c>
      <c r="AA42" s="358">
        <f>SUM(AA39:AA41)</f>
        <v>381639</v>
      </c>
      <c r="AC42" s="358">
        <f>SUM(AC39:AC41)</f>
        <v>381639</v>
      </c>
      <c r="AE42" s="358">
        <f>SUM(AE39:AE41)</f>
        <v>381639</v>
      </c>
      <c r="AG42" s="358">
        <f>SUM(AG39:AG41)</f>
        <v>381639</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57308.799999999814</v>
      </c>
      <c r="G44" s="358">
        <f>G36-G42</f>
        <v>61540.729999999749</v>
      </c>
      <c r="I44" s="358">
        <f>I36-I42</f>
        <v>65603.205199999851</v>
      </c>
      <c r="K44" s="358">
        <f>K36-K42</f>
        <v>69482.348297749762</v>
      </c>
      <c r="M44" s="358">
        <f>M36-M42</f>
        <v>73163.597484304337</v>
      </c>
      <c r="O44" s="358">
        <f>O36-O42</f>
        <v>76631.677513432107</v>
      </c>
      <c r="Q44" s="358">
        <f>Q36-Q42</f>
        <v>79870.569634070853</v>
      </c>
      <c r="S44" s="358">
        <f>S36-S42</f>
        <v>82863.480342938099</v>
      </c>
      <c r="U44" s="358">
        <f>U36-U42</f>
        <v>85592.808912797365</v>
      </c>
      <c r="W44" s="358">
        <f>W36-W42</f>
        <v>88040.113650276093</v>
      </c>
      <c r="Y44" s="358">
        <f>Y36-Y42</f>
        <v>90186.07683540741</v>
      </c>
      <c r="AA44" s="358">
        <f>AA36-AA42</f>
        <v>92010.468293329002</v>
      </c>
      <c r="AC44" s="358">
        <f>AC36-AC42</f>
        <v>93492.107546743937</v>
      </c>
      <c r="AE44" s="358">
        <f>AE36-AE42</f>
        <v>94608.824495861772</v>
      </c>
      <c r="AG44" s="358">
        <f>AG36-AG42</f>
        <v>95337.418570581358</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4.0423157713571356E-2</v>
      </c>
      <c r="G46" s="362">
        <f>G44/(G4+G6+G8)</f>
        <v>4.2349442687188051E-2</v>
      </c>
      <c r="I46" s="362">
        <f>I44/(I4+I6+I8)</f>
        <v>4.4043948775392104E-2</v>
      </c>
      <c r="K46" s="362">
        <f>K44/(K4+K6+K8)</f>
        <v>4.5510521596343466E-2</v>
      </c>
      <c r="M46" s="362">
        <f>M44/(M4+M6+M8)</f>
        <v>4.6752895360850193E-2</v>
      </c>
      <c r="O46" s="362">
        <f>O44/(O4+O6+O8)</f>
        <v>4.7774695417688945E-2</v>
      </c>
      <c r="Q46" s="362">
        <f>Q44/(Q4+Q6+Q8)</f>
        <v>4.8579440735164979E-2</v>
      </c>
      <c r="S46" s="362">
        <f>S44/(S4+S6+S8)</f>
        <v>4.9170546320457829E-2</v>
      </c>
      <c r="U46" s="362">
        <f>U44/(U4+U6+U8)</f>
        <v>4.9551325578243627E-2</v>
      </c>
      <c r="W46" s="362">
        <f>W44/(W4+W6+W8)</f>
        <v>4.9724992610067936E-2</v>
      </c>
      <c r="Y46" s="362">
        <f>Y44/(Y4+Y6+Y8)</f>
        <v>4.9694664455890436E-2</v>
      </c>
      <c r="AA46" s="362">
        <f>AA44/(AA4+AA6+AA8)</f>
        <v>4.9463363279198272E-2</v>
      </c>
      <c r="AC46" s="362">
        <f>AC44/(AC4+AC6+AC8)</f>
        <v>4.9034018497046923E-2</v>
      </c>
      <c r="AE46" s="362">
        <f>AE44/(AE4+AE6+AE8)</f>
        <v>4.840946885635377E-2</v>
      </c>
      <c r="AG46" s="362">
        <f>AG44/(AG4+AG6+AG8)</f>
        <v>4.759246445773653E-2</v>
      </c>
    </row>
    <row r="47" spans="1:33" s="362" customFormat="1" ht="14">
      <c r="A47" s="362" t="s">
        <v>914</v>
      </c>
      <c r="C47" s="355"/>
      <c r="E47" s="362">
        <f>E44/E42</f>
        <v>0.15016494645463335</v>
      </c>
      <c r="G47" s="362">
        <f>G44/G42</f>
        <v>0.16125377647462588</v>
      </c>
      <c r="I47" s="362">
        <f>I44/I42</f>
        <v>0.17189858793257465</v>
      </c>
      <c r="K47" s="362">
        <f>K44/K42</f>
        <v>0.18206301844871661</v>
      </c>
      <c r="M47" s="362">
        <f>M44/M42</f>
        <v>0.19170891204595006</v>
      </c>
      <c r="O47" s="362">
        <f>O44/O42</f>
        <v>0.20079624334366275</v>
      </c>
      <c r="Q47" s="362">
        <f>Q44/Q42</f>
        <v>0.20928303877242854</v>
      </c>
      <c r="S47" s="362">
        <f>S44/S42</f>
        <v>0.21712529469718267</v>
      </c>
      <c r="U47" s="362">
        <f>U44/U42</f>
        <v>0.22427689233227571</v>
      </c>
      <c r="W47" s="362">
        <f>W44/W42</f>
        <v>0.23068950932760041</v>
      </c>
      <c r="Y47" s="362">
        <f>Y44/Y42</f>
        <v>0.23631252790046983</v>
      </c>
      <c r="AA47" s="362">
        <f>AA44/AA42</f>
        <v>0.24109293938336754</v>
      </c>
      <c r="AC47" s="362">
        <f>AC44/AC42</f>
        <v>0.24497524505290061</v>
      </c>
      <c r="AE47" s="362">
        <f>AE44/AE42</f>
        <v>0.24790135310034292</v>
      </c>
      <c r="AG47" s="362">
        <f>AG44/AG42</f>
        <v>0.24981047159902778</v>
      </c>
    </row>
    <row r="48" spans="1:33" s="363" customFormat="1" ht="14">
      <c r="A48" s="363" t="s">
        <v>912</v>
      </c>
      <c r="C48" s="364"/>
      <c r="E48" s="363">
        <f>E36/E42</f>
        <v>1.1501649464546333</v>
      </c>
      <c r="G48" s="363">
        <f>G36/G42</f>
        <v>1.1612537764746258</v>
      </c>
      <c r="I48" s="363">
        <f>I36/I42</f>
        <v>1.1718985879325747</v>
      </c>
      <c r="K48" s="363">
        <f>K36/K42</f>
        <v>1.1820630184487166</v>
      </c>
      <c r="M48" s="363">
        <f>M36/M42</f>
        <v>1.1917089120459501</v>
      </c>
      <c r="O48" s="363">
        <f>O36/O42</f>
        <v>1.2007962433436628</v>
      </c>
      <c r="Q48" s="363">
        <f>Q36/Q42</f>
        <v>1.2092830387724285</v>
      </c>
      <c r="S48" s="363">
        <f>S36/S42</f>
        <v>1.2171252946971827</v>
      </c>
      <c r="U48" s="363">
        <f>U36/U42</f>
        <v>1.2242768923322758</v>
      </c>
      <c r="W48" s="363">
        <f>W36/W42</f>
        <v>1.2306895093276005</v>
      </c>
      <c r="Y48" s="363">
        <f>Y36/Y42</f>
        <v>1.2363125279004699</v>
      </c>
      <c r="AA48" s="363">
        <f>AA36/AA42</f>
        <v>1.2410929393833676</v>
      </c>
      <c r="AC48" s="363">
        <f>AC36/AC42</f>
        <v>1.2449752450529006</v>
      </c>
      <c r="AE48" s="363">
        <f>AE36/AE42</f>
        <v>1.2479013531003429</v>
      </c>
      <c r="AG48" s="363">
        <f>AG36/AG42</f>
        <v>1.2498104715990277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8" t="s">
        <v>2655</v>
      </c>
      <c r="B51" s="3368"/>
      <c r="C51" s="3368"/>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1.0349999999999999</v>
      </c>
      <c r="E52" s="1677">
        <v>12000</v>
      </c>
      <c r="G52" s="1673">
        <f>E52*$C$52</f>
        <v>12419.999999999998</v>
      </c>
      <c r="I52" s="1673">
        <f>G52*$C$52</f>
        <v>12854.699999999997</v>
      </c>
      <c r="K52" s="1673">
        <f>I52*$C$52</f>
        <v>13304.614499999996</v>
      </c>
      <c r="M52" s="1673">
        <f>K52*$C$52</f>
        <v>13770.276007499995</v>
      </c>
      <c r="O52" s="1673">
        <f>M52*$C$52</f>
        <v>14252.235667762494</v>
      </c>
      <c r="Q52" s="1673">
        <f>O52*$C$52</f>
        <v>14751.063916134181</v>
      </c>
      <c r="S52" s="1673">
        <f>Q52*$C$52</f>
        <v>15267.351153198875</v>
      </c>
      <c r="U52" s="1673">
        <f>S52*$C$52</f>
        <v>15801.708443560834</v>
      </c>
      <c r="W52" s="1673">
        <f>U52*$C$52</f>
        <v>16354.768239085462</v>
      </c>
      <c r="Y52" s="1673">
        <f>W52*$C$52</f>
        <v>16927.185127453453</v>
      </c>
      <c r="AA52" s="1673">
        <f>Y52*$C$52</f>
        <v>17519.636606914322</v>
      </c>
      <c r="AC52" s="1673">
        <f>AA52*$C$52</f>
        <v>18132.823888156323</v>
      </c>
      <c r="AE52" s="1673">
        <f>AC52*$C$52</f>
        <v>18767.472724241794</v>
      </c>
      <c r="AG52" s="1673">
        <f>AE52*$C$52</f>
        <v>19424.334269590254</v>
      </c>
    </row>
    <row r="53" spans="1:35" s="6" customFormat="1">
      <c r="A53" s="6" t="s">
        <v>917</v>
      </c>
      <c r="C53" s="1671"/>
      <c r="E53" s="1678">
        <v>3000</v>
      </c>
      <c r="F53" s="1673"/>
      <c r="G53" s="1673">
        <f t="shared" ref="G53:AG56" si="1">E53*$C$52</f>
        <v>3104.9999999999995</v>
      </c>
      <c r="H53" s="1673"/>
      <c r="I53" s="1673">
        <f t="shared" si="1"/>
        <v>3213.6749999999993</v>
      </c>
      <c r="J53" s="1673"/>
      <c r="K53" s="1673">
        <f t="shared" si="1"/>
        <v>3326.153624999999</v>
      </c>
      <c r="L53" s="1673"/>
      <c r="M53" s="1673">
        <f t="shared" si="1"/>
        <v>3442.5690018749988</v>
      </c>
      <c r="N53" s="1673"/>
      <c r="O53" s="1673">
        <f t="shared" si="1"/>
        <v>3563.0589169406235</v>
      </c>
      <c r="P53" s="1673"/>
      <c r="Q53" s="1673">
        <f t="shared" si="1"/>
        <v>3687.7659790335451</v>
      </c>
      <c r="R53" s="1673"/>
      <c r="S53" s="1673">
        <f t="shared" si="1"/>
        <v>3816.8377882997188</v>
      </c>
      <c r="T53" s="1673"/>
      <c r="U53" s="1673">
        <f t="shared" si="1"/>
        <v>3950.4271108902085</v>
      </c>
      <c r="V53" s="1673"/>
      <c r="W53" s="1673">
        <f t="shared" si="1"/>
        <v>4088.6920597713656</v>
      </c>
      <c r="X53" s="1673"/>
      <c r="Y53" s="1673">
        <f t="shared" si="1"/>
        <v>4231.7962818633632</v>
      </c>
      <c r="Z53" s="1673"/>
      <c r="AA53" s="1673">
        <f t="shared" si="1"/>
        <v>4379.9091517285806</v>
      </c>
      <c r="AB53" s="1673"/>
      <c r="AC53" s="1673">
        <f t="shared" si="1"/>
        <v>4533.2059720390807</v>
      </c>
      <c r="AD53" s="1673"/>
      <c r="AE53" s="1673">
        <f t="shared" si="1"/>
        <v>4691.8681810604485</v>
      </c>
      <c r="AF53" s="1673"/>
      <c r="AG53" s="1673">
        <f t="shared" si="1"/>
        <v>4856.0835673975635</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15000</v>
      </c>
      <c r="F57" s="1673"/>
      <c r="G57" s="1673">
        <f>SUM(G52:G56)</f>
        <v>15524.999999999998</v>
      </c>
      <c r="H57" s="1673"/>
      <c r="I57" s="1673">
        <f>SUM(I52:I56)</f>
        <v>16068.374999999996</v>
      </c>
      <c r="J57" s="1673"/>
      <c r="K57" s="1673">
        <f>SUM(K52:K56)</f>
        <v>16630.768124999995</v>
      </c>
      <c r="L57" s="1673"/>
      <c r="M57" s="1673">
        <f>SUM(M52:M56)</f>
        <v>17212.845009374993</v>
      </c>
      <c r="N57" s="1673"/>
      <c r="O57" s="1673">
        <f>SUM(O52:O56)</f>
        <v>17815.294584703119</v>
      </c>
      <c r="P57" s="1673"/>
      <c r="Q57" s="1673">
        <f>SUM(Q52:Q56)</f>
        <v>18438.829895167724</v>
      </c>
      <c r="R57" s="1673"/>
      <c r="S57" s="1673">
        <f>SUM(S52:S56)</f>
        <v>19084.188941498593</v>
      </c>
      <c r="T57" s="1673"/>
      <c r="U57" s="1673">
        <f>SUM(U52:U56)</f>
        <v>19752.135554451044</v>
      </c>
      <c r="V57" s="1673"/>
      <c r="W57" s="1673">
        <f>SUM(W52:W56)</f>
        <v>20443.460298856829</v>
      </c>
      <c r="X57" s="1673"/>
      <c r="Y57" s="1673">
        <f>SUM(Y52:Y56)</f>
        <v>21158.981409316817</v>
      </c>
      <c r="Z57" s="1673"/>
      <c r="AA57" s="1673">
        <f>SUM(AA52:AA56)</f>
        <v>21899.545758642904</v>
      </c>
      <c r="AB57" s="1673"/>
      <c r="AC57" s="1673">
        <f>SUM(AC52:AC56)</f>
        <v>22666.029860195405</v>
      </c>
      <c r="AD57" s="1673"/>
      <c r="AE57" s="1673">
        <f>SUM(AE52:AE56)</f>
        <v>23459.340905302241</v>
      </c>
      <c r="AF57" s="1673"/>
      <c r="AG57" s="1673">
        <f>SUM(AG52:AG56)</f>
        <v>24280.417836987817</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42308.799999999814</v>
      </c>
      <c r="G59" s="1675">
        <f>G44-G57</f>
        <v>46015.729999999749</v>
      </c>
      <c r="I59" s="1675">
        <f>I44-I57</f>
        <v>49534.830199999851</v>
      </c>
      <c r="K59" s="1675">
        <f>K44-K57</f>
        <v>52851.580172749767</v>
      </c>
      <c r="M59" s="1675">
        <f>M44-M57</f>
        <v>55950.752474929344</v>
      </c>
      <c r="O59" s="1675">
        <f>O44-O57</f>
        <v>58816.382928728985</v>
      </c>
      <c r="Q59" s="1675">
        <f>Q44-Q57</f>
        <v>61431.739738903125</v>
      </c>
      <c r="S59" s="1675">
        <f>S44-S57</f>
        <v>63779.291401439506</v>
      </c>
      <c r="U59" s="1675">
        <f>U44-U57</f>
        <v>65840.673358346321</v>
      </c>
      <c r="W59" s="1675">
        <f>W44-W57</f>
        <v>67596.653351419256</v>
      </c>
      <c r="Y59" s="1675">
        <f>Y44-Y57</f>
        <v>69027.095426090586</v>
      </c>
      <c r="AA59" s="1675">
        <f>AA44-AA57</f>
        <v>70110.922534686106</v>
      </c>
      <c r="AC59" s="1675">
        <f>AC44-AC57</f>
        <v>70826.077686548524</v>
      </c>
      <c r="AE59" s="1675">
        <f>AE44-AE57</f>
        <v>71149.483590559539</v>
      </c>
      <c r="AG59" s="1675">
        <f>AG44-AG57</f>
        <v>71057.000733593537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f>S59*$C$61</f>
        <v>0</v>
      </c>
      <c r="T61" s="1683"/>
      <c r="U61" s="1683">
        <f>U59*$C$61</f>
        <v>0</v>
      </c>
      <c r="V61" s="1683"/>
      <c r="W61" s="1683">
        <f>W59*$C$61</f>
        <v>0</v>
      </c>
      <c r="Y61" s="1683">
        <f>Y59*$C$61</f>
        <v>0</v>
      </c>
      <c r="AA61" s="1683">
        <f>AA59*$C$61</f>
        <v>0</v>
      </c>
      <c r="AC61" s="1683">
        <f>AC59*$C$61</f>
        <v>0</v>
      </c>
      <c r="AE61" s="1683">
        <f>AE59*$C$61</f>
        <v>0</v>
      </c>
      <c r="AG61" s="1683">
        <f>AG59*$C$61</f>
        <v>0</v>
      </c>
    </row>
    <row r="62" spans="1:35" s="1683" customFormat="1">
      <c r="A62" s="3368" t="s">
        <v>1382</v>
      </c>
      <c r="B62" s="3368"/>
      <c r="C62" s="3368"/>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
        <v>2646</v>
      </c>
      <c r="B65" s="1677"/>
      <c r="C65" s="1676"/>
      <c r="E65" s="1677">
        <f>$E59*$C$64</f>
        <v>21154.399999999907</v>
      </c>
      <c r="G65" s="1673">
        <f>G59*$C$64</f>
        <v>23007.864999999874</v>
      </c>
      <c r="I65" s="1673">
        <f>I59*$C$64</f>
        <v>24767.415099999926</v>
      </c>
      <c r="K65" s="1673">
        <f>K59*$C$64</f>
        <v>26425.790086374884</v>
      </c>
      <c r="M65" s="1673">
        <f>M59*$C$64</f>
        <v>27975.376237464672</v>
      </c>
      <c r="O65" s="1673">
        <f>O59*$C$64</f>
        <v>29408.191464364492</v>
      </c>
      <c r="Q65" s="1673">
        <f>Q59*$C$64</f>
        <v>30715.869869451562</v>
      </c>
      <c r="S65" s="1673">
        <f>S59*$C$64</f>
        <v>31889.645700719753</v>
      </c>
      <c r="U65" s="1673">
        <f>U59*$C$64</f>
        <v>32920.336679173161</v>
      </c>
      <c r="W65" s="1673">
        <f>W59*$C$64</f>
        <v>33798.326675709628</v>
      </c>
      <c r="Y65" s="1673">
        <f>Y59*$C$64</f>
        <v>34513.547713045293</v>
      </c>
      <c r="AA65" s="1673">
        <f>AA59*$C$64</f>
        <v>35055.461267343053</v>
      </c>
      <c r="AC65" s="1673">
        <f>AC59*$C$64</f>
        <v>35413.038843274262</v>
      </c>
      <c r="AE65" s="1673">
        <f>AE59*$C$64</f>
        <v>35574.74179527977</v>
      </c>
      <c r="AG65" s="1673">
        <f>AG59*$C$64</f>
        <v>35528.500366796769</v>
      </c>
    </row>
    <row r="66" spans="1:33" s="1673" customFormat="1">
      <c r="A66" s="1678" t="s">
        <v>2647</v>
      </c>
      <c r="B66" s="1678"/>
      <c r="C66" s="1684"/>
      <c r="E66" s="1677">
        <f>$E59*$C$64</f>
        <v>21154.399999999907</v>
      </c>
      <c r="G66" s="1673">
        <f>G59*$C$64</f>
        <v>23007.864999999874</v>
      </c>
      <c r="I66" s="1673">
        <f>I59*$C$64</f>
        <v>24767.415099999926</v>
      </c>
      <c r="K66" s="1673">
        <f>K59*$C$64</f>
        <v>26425.790086374884</v>
      </c>
      <c r="M66" s="1673">
        <f>M59*$C$64</f>
        <v>27975.376237464672</v>
      </c>
      <c r="O66" s="1673">
        <f>O59*$C$64</f>
        <v>29408.191464364492</v>
      </c>
      <c r="Q66" s="1673">
        <f>Q59*$C$64</f>
        <v>30715.869869451562</v>
      </c>
      <c r="S66" s="1673">
        <f>S59*$C$64</f>
        <v>31889.645700719753</v>
      </c>
      <c r="U66" s="1673">
        <f>U59*$C$64</f>
        <v>32920.336679173161</v>
      </c>
      <c r="W66" s="1673">
        <f>W59*$C$64</f>
        <v>33798.326675709628</v>
      </c>
      <c r="Y66" s="1673">
        <f>Y59*$C$64</f>
        <v>34513.547713045293</v>
      </c>
      <c r="AA66" s="1673">
        <f>AA59*$C$64</f>
        <v>35055.461267343053</v>
      </c>
      <c r="AC66" s="1673">
        <f>AC59*$C$64</f>
        <v>35413.038843274262</v>
      </c>
      <c r="AE66" s="1673">
        <f>AE59*$C$64</f>
        <v>35574.74179527977</v>
      </c>
      <c r="AG66" s="1673">
        <f>AG59*$C$64</f>
        <v>35528.500366796769</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42308.799999999814</v>
      </c>
      <c r="G69" s="1685">
        <f>SUM(G65:G68)</f>
        <v>46015.729999999749</v>
      </c>
      <c r="I69" s="1685">
        <f>SUM(I65:I68)</f>
        <v>49534.830199999851</v>
      </c>
      <c r="K69" s="1685">
        <f>SUM(K65:K68)</f>
        <v>52851.580172749767</v>
      </c>
      <c r="M69" s="1685">
        <f>SUM(M65:M68)</f>
        <v>55950.752474929344</v>
      </c>
      <c r="O69" s="1685">
        <f>SUM(O65:O68)</f>
        <v>58816.382928728985</v>
      </c>
      <c r="Q69" s="1685">
        <f>SUM(Q65:Q68)</f>
        <v>61431.739738903125</v>
      </c>
      <c r="S69" s="1685">
        <f>SUM(S65:S68)</f>
        <v>63779.291401439506</v>
      </c>
      <c r="U69" s="1685">
        <f>SUM(U65:U68)</f>
        <v>65840.673358346321</v>
      </c>
      <c r="W69" s="1685">
        <f>SUM(W65:W68)</f>
        <v>67596.653351419256</v>
      </c>
      <c r="Y69" s="1685">
        <f>SUM(Y65:Y68)</f>
        <v>69027.095426090586</v>
      </c>
      <c r="AA69" s="1685">
        <f>SUM(AA65:AA68)</f>
        <v>70110.922534686106</v>
      </c>
      <c r="AC69" s="1685">
        <f>SUM(AC65:AC68)</f>
        <v>70826.077686548524</v>
      </c>
      <c r="AE69" s="1685">
        <f>SUM(AE65:AE68)</f>
        <v>71149.483590559539</v>
      </c>
      <c r="AG69" s="1685">
        <f>SUM(AG65:AG68)</f>
        <v>71057.000733593537</v>
      </c>
    </row>
    <row r="70" spans="1:33" s="1685" customFormat="1">
      <c r="A70" s="1675"/>
      <c r="C70" s="1684"/>
    </row>
    <row r="71" spans="1:33" s="1685" customFormat="1">
      <c r="A71" s="1675" t="s">
        <v>2219</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ht="13">
      <c r="A72" s="914"/>
      <c r="C72" s="1686"/>
    </row>
    <row r="73" spans="1:33" s="351" customFormat="1" ht="13">
      <c r="A73" s="914"/>
      <c r="C73" s="352"/>
    </row>
    <row r="74" spans="1:33" s="351" customFormat="1">
      <c r="A74" s="1673" t="s">
        <v>2218</v>
      </c>
      <c r="C74" s="352"/>
    </row>
    <row r="75" spans="1:33" s="351" customFormat="1">
      <c r="C75" s="352"/>
    </row>
    <row r="76" spans="1:33" s="370" customFormat="1" ht="30" customHeight="1">
      <c r="A76" s="3366" t="s">
        <v>2217</v>
      </c>
      <c r="B76" s="3367"/>
      <c r="C76" s="3367"/>
      <c r="D76" s="3367"/>
      <c r="E76" s="3367"/>
      <c r="F76" s="3367"/>
      <c r="G76" s="3367"/>
      <c r="H76" s="3367"/>
      <c r="I76" s="3367"/>
      <c r="J76" s="3367"/>
      <c r="K76" s="3367"/>
      <c r="L76" s="3367"/>
      <c r="M76" s="3367"/>
      <c r="N76" s="3367"/>
      <c r="O76" s="3367"/>
      <c r="P76" s="3367"/>
      <c r="Q76" s="3367"/>
      <c r="R76" s="3367"/>
      <c r="S76" s="3367"/>
      <c r="T76" s="3367"/>
      <c r="U76" s="3367"/>
      <c r="V76" s="3367"/>
      <c r="W76" s="3367"/>
      <c r="X76" s="3367"/>
      <c r="Y76" s="3367"/>
      <c r="Z76" s="3367"/>
      <c r="AA76" s="3367"/>
      <c r="AB76" s="3367"/>
      <c r="AC76" s="3367"/>
      <c r="AD76" s="3367"/>
      <c r="AE76" s="3367"/>
      <c r="AF76" s="3367"/>
      <c r="AG76" s="336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0" sqref="I30"/>
    </sheetView>
  </sheetViews>
  <sheetFormatPr defaultColWidth="0" defaultRowHeight="14" zeroHeight="1"/>
  <cols>
    <col min="1" max="3" width="15.6328125" style="471" customWidth="1"/>
    <col min="4" max="4" width="3.6328125" style="471" customWidth="1"/>
    <col min="5" max="6" width="15.6328125" style="471" customWidth="1"/>
    <col min="7" max="7" width="3.6328125" style="471" customWidth="1"/>
    <col min="8" max="9" width="15.6328125" style="471" customWidth="1"/>
    <col min="10" max="16" width="15.6328125" style="471" hidden="1" customWidth="1"/>
    <col min="17" max="16383" width="9.1796875" style="471" hidden="1"/>
    <col min="16384" max="16384" width="0.36328125" style="471" customWidth="1"/>
  </cols>
  <sheetData>
    <row r="1" spans="1:11">
      <c r="A1" s="3369" t="s">
        <v>978</v>
      </c>
      <c r="B1" s="3369"/>
      <c r="C1" s="3369"/>
      <c r="D1" s="3369"/>
      <c r="E1" s="3369"/>
      <c r="F1" s="3369"/>
      <c r="G1" s="3369"/>
      <c r="H1" s="3369"/>
      <c r="I1" s="3369"/>
      <c r="J1" s="325"/>
      <c r="K1" s="325"/>
    </row>
    <row r="2" spans="1:11">
      <c r="A2" s="654"/>
      <c r="B2" s="654"/>
      <c r="C2" s="654"/>
      <c r="D2" s="654"/>
      <c r="E2" s="654"/>
      <c r="F2" s="654"/>
      <c r="G2" s="654"/>
      <c r="H2" s="654"/>
      <c r="I2" s="654"/>
    </row>
    <row r="3" spans="1:11" ht="84">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88</v>
      </c>
      <c r="C4" s="657">
        <f>Application!O728</f>
        <v>591</v>
      </c>
      <c r="D4" s="658"/>
      <c r="E4" s="475">
        <v>1339</v>
      </c>
      <c r="F4" s="659">
        <f>E4*B4</f>
        <v>117832</v>
      </c>
      <c r="G4" s="660"/>
      <c r="H4" s="657">
        <f>IF(E4=0," ",(E4-C4))</f>
        <v>748</v>
      </c>
      <c r="I4" s="659">
        <f>IF(E4=0," ",(H4*B4))</f>
        <v>65824</v>
      </c>
      <c r="J4" s="325"/>
      <c r="K4" s="472"/>
    </row>
    <row r="5" spans="1:11">
      <c r="A5" s="657">
        <f>Application!B729</f>
        <v>0</v>
      </c>
      <c r="B5" s="666">
        <f>Application!G729</f>
        <v>0</v>
      </c>
      <c r="C5" s="657">
        <f>Application!O729</f>
        <v>0</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986</v>
      </c>
      <c r="B30" s="662"/>
      <c r="C30" s="663">
        <f>Application!T753</f>
        <v>52008</v>
      </c>
      <c r="D30" s="658"/>
      <c r="E30" s="658"/>
      <c r="F30" s="663">
        <f>SUM(F4:F28)*12</f>
        <v>1413984</v>
      </c>
      <c r="G30" s="664"/>
      <c r="H30" s="662"/>
      <c r="I30" s="663">
        <f>SUM(I4:I28)*12</f>
        <v>789888</v>
      </c>
      <c r="J30" s="325"/>
      <c r="K30" s="474"/>
    </row>
    <row r="31" spans="1:11">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7" t="s">
        <v>1048</v>
      </c>
    </row>
    <row r="2" spans="1:1" ht="15.5">
      <c r="A2" s="488"/>
    </row>
    <row r="3" spans="1:1" ht="15.5">
      <c r="A3" s="489" t="s">
        <v>1043</v>
      </c>
    </row>
    <row r="4" spans="1:1" ht="15.5">
      <c r="A4" s="489" t="s">
        <v>1044</v>
      </c>
    </row>
    <row r="5" spans="1:1" ht="15.5">
      <c r="A5" s="489" t="s">
        <v>1045</v>
      </c>
    </row>
    <row r="6" spans="1:1" ht="15.5">
      <c r="A6" s="489" t="s">
        <v>1047</v>
      </c>
    </row>
    <row r="7" spans="1:1" ht="15.5">
      <c r="A7" s="489" t="s">
        <v>1046</v>
      </c>
    </row>
    <row r="8" spans="1:1" ht="15.5">
      <c r="A8" s="537" t="s">
        <v>1135</v>
      </c>
    </row>
    <row r="9" spans="1:1" ht="15.5">
      <c r="A9" s="489"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0" zoomScaleNormal="100" zoomScaleSheetLayoutView="100" workbookViewId="0">
      <selection activeCell="A50" sqref="A50"/>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499" hidden="1" customWidth="1"/>
    <col min="254" max="16384" width="9.1796875" style="499" hidden="1"/>
  </cols>
  <sheetData>
    <row r="1" spans="1:253" s="431" customFormat="1" ht="18" customHeight="1">
      <c r="A1" s="864" t="s">
        <v>1426</v>
      </c>
      <c r="D1" s="436"/>
    </row>
    <row r="2" spans="1:253" s="431" customFormat="1" ht="13">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4300000</v>
      </c>
      <c r="C5" s="420">
        <f>'Sources and Uses Budget'!$C4</f>
        <v>4300000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156701</v>
      </c>
      <c r="C6" s="420">
        <f>'Sources and Uses Budget'!$C5</f>
        <v>156701</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51489</v>
      </c>
      <c r="C7" s="420">
        <f>'Sources and Uses Budget'!$C6</f>
        <v>51489</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4508190</v>
      </c>
      <c r="C9" s="424">
        <f>SUM(C5:C8)</f>
        <v>4508190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250000</v>
      </c>
      <c r="C11" s="420">
        <f>'Sources and Uses Budget'!$C10</f>
        <v>250000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250000</v>
      </c>
      <c r="C12" s="424">
        <f>SUM(C10:C11)</f>
        <v>250000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4758190</v>
      </c>
      <c r="C13" s="424">
        <f>SUM(C9+C12)</f>
        <v>4758190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513729</v>
      </c>
      <c r="C14" s="420">
        <f>'Sources and Uses Budget'!$C13</f>
        <v>513729</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1991</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1620485</v>
      </c>
      <c r="C30" s="420">
        <f>'Sources and Uses Budget'!$C29</f>
        <v>1620485</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19666945</v>
      </c>
      <c r="C31" s="420">
        <f>'Sources and Uses Budget'!$C30</f>
        <v>19666945</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1735531</v>
      </c>
      <c r="C32" s="420">
        <f>'Sources and Uses Budget'!$C31</f>
        <v>1735531</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433882.5</v>
      </c>
      <c r="C33" s="420">
        <f>'Sources and Uses Budget'!$C32</f>
        <v>433882.5</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433882.5</v>
      </c>
      <c r="C34" s="420">
        <f>'Sources and Uses Budget'!$C33</f>
        <v>433882.5</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607436</v>
      </c>
      <c r="C36" s="420">
        <f>'Sources and Uses Budget'!$C35</f>
        <v>607436</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1991</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24498162</v>
      </c>
      <c r="C39" s="424">
        <f>SUM(C30:C38)</f>
        <v>24498162</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1507970</v>
      </c>
      <c r="C41" s="420">
        <f>'Sources and Uses Budget'!$C40</f>
        <v>1507970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1507970</v>
      </c>
      <c r="C43" s="424">
        <f>SUM(C41:C42)</f>
        <v>1507970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219725</v>
      </c>
      <c r="C44" s="420">
        <f>'Sources and Uses Budget'!$C43</f>
        <v>219725</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1702145</v>
      </c>
      <c r="C46" s="420">
        <f>'Sources and Uses Budget'!$C45</f>
        <v>1702145</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197069</v>
      </c>
      <c r="C47" s="420">
        <f>'Sources and Uses Budget'!$C46</f>
        <v>197069</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288281</v>
      </c>
      <c r="C50" s="420">
        <f>'Sources and Uses Budget'!$C49</f>
        <v>288281</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78000</v>
      </c>
      <c r="C51" s="420">
        <f>'Sources and Uses Budget'!$C50</f>
        <v>78000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80625</v>
      </c>
      <c r="C52" s="420">
        <f>'Sources and Uses Budget'!$C51</f>
        <v>80625</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220000</v>
      </c>
      <c r="C53" s="420">
        <f>'Sources and Uses Budget'!$C52</f>
        <v>220000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Construction Lender Expenses</v>
      </c>
      <c r="B54" s="420">
        <f>'Sources and Uses Budget'!$C53</f>
        <v>37000</v>
      </c>
      <c r="C54" s="420">
        <f>'Sources and Uses Budget'!$C53</f>
        <v>37000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2603120</v>
      </c>
      <c r="C55" s="427">
        <f>SUM(C46:C54)</f>
        <v>2603120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438</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61900</v>
      </c>
      <c r="C57" s="420">
        <f>'Sources and Uses Budget'!$C56</f>
        <v>61900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12000</v>
      </c>
      <c r="C59" s="420">
        <f>'Sources and Uses Budget'!$C58</f>
        <v>12000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Perm Lender Expenses</v>
      </c>
      <c r="B62" s="420">
        <f>'Sources and Uses Budget'!$C61</f>
        <v>10000</v>
      </c>
      <c r="C62" s="420">
        <f>'Sources and Uses Budget'!$C61</f>
        <v>10000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308</v>
      </c>
      <c r="B63" s="424">
        <f>SUM(B57:B62)</f>
        <v>83900</v>
      </c>
      <c r="C63" s="424">
        <f>SUM(C57:C62)</f>
        <v>83900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309</v>
      </c>
      <c r="B64" s="424">
        <f>SUM(B9+B12+B14+B15+B17+B26+B28+B39+B43+B44+B55+B63)</f>
        <v>34184796</v>
      </c>
      <c r="C64" s="424">
        <f>SUM(C9+C12+C14+C15+C17+C26+C28+C39+C43+C44+C55+C63)</f>
        <v>34184796</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1995</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175</v>
      </c>
      <c r="B66" s="420">
        <f>'Sources and Uses Budget'!$C65</f>
        <v>80000</v>
      </c>
      <c r="C66" s="420">
        <f>'Sources and Uses Budget'!$C65</f>
        <v>80000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1992</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1993</v>
      </c>
      <c r="B68" s="420">
        <f>'Sources and Uses Budget'!$C67</f>
        <v>60000</v>
      </c>
      <c r="C68" s="420">
        <f>'Sources and Uses Budget'!$C67</f>
        <v>60000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1999</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Sponsor Legal</v>
      </c>
      <c r="B70" s="420">
        <f>'Sources and Uses Budget'!$C69</f>
        <v>75000</v>
      </c>
      <c r="C70" s="420">
        <f>'Sources and Uses Budget'!$C69</f>
        <v>75000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1996</v>
      </c>
      <c r="B71" s="424">
        <f>SUM(B66:B70)</f>
        <v>215000</v>
      </c>
      <c r="C71" s="424">
        <f>SUM(C66:C70)</f>
        <v>215000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1084</v>
      </c>
      <c r="B75" s="420">
        <f>'Sources and Uses Budget'!$C74</f>
        <v>0</v>
      </c>
      <c r="C75" s="420">
        <f>'Sources and Uses Budget'!$C74</f>
        <v>0</v>
      </c>
      <c r="D75" s="424">
        <f t="shared" si="0"/>
        <v>0</v>
      </c>
      <c r="E75" s="422"/>
      <c r="F75" s="421"/>
      <c r="G75" s="552"/>
    </row>
    <row r="76" spans="1:253" s="546" customFormat="1">
      <c r="A76" s="423" t="s">
        <v>639</v>
      </c>
      <c r="B76" s="420">
        <f>'Sources and Uses Budget'!$C75</f>
        <v>304660</v>
      </c>
      <c r="C76" s="420">
        <f>'Sources and Uses Budget'!$C75</f>
        <v>304660</v>
      </c>
      <c r="D76" s="424">
        <f t="shared" si="0"/>
        <v>0</v>
      </c>
      <c r="E76" s="422"/>
      <c r="F76" s="421"/>
      <c r="G76" s="552"/>
    </row>
    <row r="77" spans="1:253" s="546" customFormat="1">
      <c r="A77" s="426" t="s">
        <v>35</v>
      </c>
      <c r="B77" s="420">
        <f>'Sources and Uses Budget'!$C76</f>
        <v>541109</v>
      </c>
      <c r="C77" s="420">
        <f>'Sources and Uses Budget'!$C76</f>
        <v>541109</v>
      </c>
      <c r="D77" s="424">
        <f t="shared" si="0"/>
        <v>0</v>
      </c>
      <c r="E77" s="422"/>
      <c r="F77" s="421"/>
      <c r="G77" s="552"/>
    </row>
    <row r="78" spans="1:253" s="546" customFormat="1" ht="13">
      <c r="A78" s="425" t="s">
        <v>640</v>
      </c>
      <c r="B78" s="424">
        <f>SUM(B73:B77)</f>
        <v>845769</v>
      </c>
      <c r="C78" s="424">
        <f>SUM(C73:C77)</f>
        <v>845769</v>
      </c>
      <c r="D78" s="424">
        <f t="shared" ref="D78:D106" si="1">C78-B78</f>
        <v>0</v>
      </c>
      <c r="E78" s="422"/>
      <c r="F78" s="421"/>
      <c r="G78" s="552"/>
    </row>
    <row r="79" spans="1:253" s="546" customFormat="1" ht="13">
      <c r="A79" s="418" t="s">
        <v>1418</v>
      </c>
      <c r="B79" s="418"/>
      <c r="C79" s="418"/>
      <c r="D79" s="418"/>
      <c r="E79" s="438"/>
      <c r="F79" s="418"/>
      <c r="G79" s="552"/>
    </row>
    <row r="80" spans="1:253" s="546" customFormat="1">
      <c r="A80" s="860" t="s">
        <v>1420</v>
      </c>
      <c r="B80" s="420">
        <f>'Sources and Uses Budget'!$C79</f>
        <v>2490485</v>
      </c>
      <c r="C80" s="420">
        <f>'Sources and Uses Budget'!$C79</f>
        <v>2490485</v>
      </c>
      <c r="D80" s="424">
        <f t="shared" si="1"/>
        <v>0</v>
      </c>
      <c r="E80" s="422"/>
      <c r="F80" s="421"/>
      <c r="G80" s="552"/>
    </row>
    <row r="81" spans="1:7" s="546" customFormat="1">
      <c r="A81" s="860" t="s">
        <v>61</v>
      </c>
      <c r="B81" s="420">
        <f>'Sources and Uses Budget'!$C80</f>
        <v>168253</v>
      </c>
      <c r="C81" s="420">
        <f>'Sources and Uses Budget'!$C80</f>
        <v>168253</v>
      </c>
      <c r="D81" s="424">
        <f>C81-B81</f>
        <v>0</v>
      </c>
      <c r="E81" s="422"/>
      <c r="F81" s="421"/>
      <c r="G81" s="552"/>
    </row>
    <row r="82" spans="1:7" s="546" customFormat="1" ht="13">
      <c r="A82" s="425" t="s">
        <v>1417</v>
      </c>
      <c r="B82" s="424">
        <f>SUM(B80:B81)</f>
        <v>2658738</v>
      </c>
      <c r="C82" s="424">
        <f>SUM(C80:C81)</f>
        <v>2658738</v>
      </c>
      <c r="D82" s="424">
        <f t="shared" si="1"/>
        <v>0</v>
      </c>
      <c r="E82" s="422"/>
      <c r="F82" s="421"/>
      <c r="G82" s="552"/>
    </row>
    <row r="83" spans="1:7" s="546" customFormat="1" ht="13">
      <c r="A83" s="418" t="s">
        <v>822</v>
      </c>
      <c r="B83" s="418"/>
      <c r="C83" s="418"/>
      <c r="D83" s="418"/>
      <c r="E83" s="438"/>
      <c r="F83" s="418"/>
      <c r="G83" s="552"/>
    </row>
    <row r="84" spans="1:7" s="546" customFormat="1" ht="13.75" customHeight="1">
      <c r="A84" s="423" t="s">
        <v>823</v>
      </c>
      <c r="B84" s="420">
        <f>'Sources and Uses Budget'!$C83</f>
        <v>56806</v>
      </c>
      <c r="C84" s="420">
        <f>'Sources and Uses Budget'!$C83</f>
        <v>56806</v>
      </c>
      <c r="D84" s="424">
        <f t="shared" si="1"/>
        <v>0</v>
      </c>
      <c r="E84" s="422"/>
      <c r="F84" s="421"/>
      <c r="G84" s="552"/>
    </row>
    <row r="85" spans="1:7" s="546" customFormat="1">
      <c r="A85" s="423" t="s">
        <v>824</v>
      </c>
      <c r="B85" s="420">
        <f>'Sources and Uses Budget'!$C84</f>
        <v>5050</v>
      </c>
      <c r="C85" s="420">
        <f>'Sources and Uses Budget'!$C84</f>
        <v>5050</v>
      </c>
      <c r="D85" s="424">
        <f t="shared" si="1"/>
        <v>0</v>
      </c>
      <c r="E85" s="422"/>
      <c r="F85" s="421"/>
      <c r="G85" s="552"/>
    </row>
    <row r="86" spans="1:7" s="546" customFormat="1">
      <c r="A86" s="423" t="s">
        <v>825</v>
      </c>
      <c r="B86" s="420">
        <f>'Sources and Uses Budget'!$C85</f>
        <v>186868</v>
      </c>
      <c r="C86" s="420">
        <f>'Sources and Uses Budget'!$C85</f>
        <v>186868</v>
      </c>
      <c r="D86" s="424">
        <f t="shared" si="1"/>
        <v>0</v>
      </c>
      <c r="E86" s="422"/>
      <c r="F86" s="421"/>
      <c r="G86" s="552"/>
    </row>
    <row r="87" spans="1:7" s="546" customFormat="1">
      <c r="A87" s="423" t="s">
        <v>826</v>
      </c>
      <c r="B87" s="420">
        <f>'Sources and Uses Budget'!$C86</f>
        <v>250000</v>
      </c>
      <c r="C87" s="420">
        <f>'Sources and Uses Budget'!$C86</f>
        <v>250000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92418</v>
      </c>
      <c r="C89" s="420">
        <f>'Sources and Uses Budget'!$C88</f>
        <v>92418</v>
      </c>
      <c r="D89" s="424">
        <f t="shared" si="1"/>
        <v>0</v>
      </c>
      <c r="E89" s="422"/>
      <c r="F89" s="421"/>
      <c r="G89" s="552"/>
    </row>
    <row r="90" spans="1:7" s="546" customFormat="1">
      <c r="A90" s="423" t="s">
        <v>829</v>
      </c>
      <c r="B90" s="420">
        <f>'Sources and Uses Budget'!$C89</f>
        <v>272500</v>
      </c>
      <c r="C90" s="420">
        <f>'Sources and Uses Budget'!$C89</f>
        <v>272500</v>
      </c>
      <c r="D90" s="424">
        <f t="shared" si="1"/>
        <v>0</v>
      </c>
      <c r="E90" s="422"/>
      <c r="F90" s="421"/>
      <c r="G90" s="552"/>
    </row>
    <row r="91" spans="1:7" s="546" customFormat="1">
      <c r="A91" s="423" t="s">
        <v>830</v>
      </c>
      <c r="B91" s="420">
        <f>'Sources and Uses Budget'!$C90</f>
        <v>9000</v>
      </c>
      <c r="C91" s="420">
        <f>'Sources and Uses Budget'!$C90</f>
        <v>9000</v>
      </c>
      <c r="D91" s="424">
        <f t="shared" si="1"/>
        <v>0</v>
      </c>
      <c r="E91" s="422"/>
      <c r="F91" s="421"/>
      <c r="G91" s="552"/>
    </row>
    <row r="92" spans="1:7" s="546" customFormat="1">
      <c r="A92" s="429" t="s">
        <v>389</v>
      </c>
      <c r="B92" s="420">
        <f>'Sources and Uses Budget'!$C91</f>
        <v>17400</v>
      </c>
      <c r="C92" s="420">
        <f>'Sources and Uses Budget'!$C91</f>
        <v>17400</v>
      </c>
      <c r="D92" s="424">
        <f t="shared" si="1"/>
        <v>0</v>
      </c>
      <c r="E92" s="422"/>
      <c r="F92" s="421"/>
      <c r="G92" s="552"/>
    </row>
    <row r="93" spans="1:7" s="546" customFormat="1">
      <c r="A93" s="859" t="s">
        <v>1419</v>
      </c>
      <c r="B93" s="420">
        <f>'Sources and Uses Budget'!$C92</f>
        <v>4200</v>
      </c>
      <c r="C93" s="420">
        <f>'Sources and Uses Budget'!$C92</f>
        <v>4200</v>
      </c>
      <c r="D93" s="424">
        <f t="shared" si="1"/>
        <v>0</v>
      </c>
      <c r="E93" s="422"/>
      <c r="F93" s="421"/>
      <c r="G93" s="552"/>
    </row>
    <row r="94" spans="1:7" s="546" customFormat="1">
      <c r="A94" s="426" t="s">
        <v>35</v>
      </c>
      <c r="B94" s="420">
        <f>'Sources and Uses Budget'!$C93</f>
        <v>260331</v>
      </c>
      <c r="C94" s="420">
        <f>'Sources and Uses Budget'!$C93</f>
        <v>260331</v>
      </c>
      <c r="D94" s="424">
        <f t="shared" si="1"/>
        <v>0</v>
      </c>
      <c r="E94" s="422"/>
      <c r="F94" s="421"/>
      <c r="G94" s="552"/>
    </row>
    <row r="95" spans="1:7" s="546" customFormat="1">
      <c r="A95" s="426" t="s">
        <v>35</v>
      </c>
      <c r="B95" s="420">
        <f>'Sources and Uses Budget'!$C94</f>
        <v>347500</v>
      </c>
      <c r="C95" s="420">
        <f>'Sources and Uses Budget'!$C94</f>
        <v>347500</v>
      </c>
      <c r="D95" s="424">
        <f t="shared" si="1"/>
        <v>0</v>
      </c>
      <c r="E95" s="422"/>
      <c r="F95" s="421"/>
      <c r="G95" s="552"/>
    </row>
    <row r="96" spans="1:7" s="546" customFormat="1">
      <c r="A96" s="426" t="s">
        <v>35</v>
      </c>
      <c r="B96" s="420">
        <f>'Sources and Uses Budget'!$C95</f>
        <v>543775</v>
      </c>
      <c r="C96" s="420">
        <f>'Sources and Uses Budget'!$C95</f>
        <v>543775</v>
      </c>
      <c r="D96" s="424">
        <f t="shared" si="1"/>
        <v>0</v>
      </c>
      <c r="E96" s="422"/>
      <c r="F96" s="421"/>
      <c r="G96" s="552"/>
    </row>
    <row r="97" spans="1:7" s="546" customFormat="1" ht="13">
      <c r="A97" s="425" t="s">
        <v>831</v>
      </c>
      <c r="B97" s="424">
        <f>SUM(B84:B96)</f>
        <v>2045848</v>
      </c>
      <c r="C97" s="424">
        <f>SUM(C84:C96)</f>
        <v>2045848</v>
      </c>
      <c r="D97" s="424">
        <f t="shared" si="1"/>
        <v>0</v>
      </c>
      <c r="E97" s="422"/>
      <c r="F97" s="421"/>
      <c r="G97" s="552"/>
    </row>
    <row r="98" spans="1:7" s="546" customFormat="1" ht="13">
      <c r="A98" s="425" t="s">
        <v>832</v>
      </c>
      <c r="B98" s="424">
        <f>SUM(B64+B71+B78+B82+B97)</f>
        <v>39950151</v>
      </c>
      <c r="C98" s="424">
        <f>SUM(C64+C71+C78+C82+C97)</f>
        <v>39950151</v>
      </c>
      <c r="D98" s="424">
        <f t="shared" si="1"/>
        <v>0</v>
      </c>
      <c r="E98" s="422"/>
      <c r="F98" s="421"/>
      <c r="G98" s="552"/>
    </row>
    <row r="99" spans="1:7" s="546" customFormat="1" ht="13">
      <c r="A99" s="418" t="s">
        <v>833</v>
      </c>
      <c r="B99" s="418"/>
      <c r="C99" s="418"/>
      <c r="D99" s="418"/>
      <c r="E99" s="438"/>
      <c r="F99" s="418"/>
      <c r="G99" s="552"/>
    </row>
    <row r="100" spans="1:7" s="545" customFormat="1">
      <c r="A100" s="215" t="s">
        <v>834</v>
      </c>
      <c r="B100" s="420">
        <f>'Sources and Uses Budget'!$C99</f>
        <v>4845261</v>
      </c>
      <c r="C100" s="420">
        <f>'Sources and Uses Budget'!$C99</f>
        <v>4845261</v>
      </c>
      <c r="D100" s="424">
        <f t="shared" si="1"/>
        <v>0</v>
      </c>
      <c r="E100" s="422"/>
      <c r="F100" s="421"/>
      <c r="G100" s="550"/>
    </row>
    <row r="101" spans="1:7" s="545" customFormat="1">
      <c r="A101" s="439" t="s">
        <v>1997</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1998</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836</v>
      </c>
      <c r="B105" s="424">
        <f>SUM(B100:B104)</f>
        <v>4845261</v>
      </c>
      <c r="C105" s="424">
        <f>SUM(C100:C104)</f>
        <v>4845261</v>
      </c>
      <c r="D105" s="424">
        <f t="shared" si="1"/>
        <v>0</v>
      </c>
      <c r="E105" s="422"/>
      <c r="F105" s="421"/>
      <c r="G105" s="550"/>
    </row>
    <row r="106" spans="1:7" s="545" customFormat="1" ht="13">
      <c r="A106" s="425" t="s">
        <v>837</v>
      </c>
      <c r="B106" s="427">
        <f>SUM(B98+B105)</f>
        <v>44795412</v>
      </c>
      <c r="C106" s="427">
        <f>SUM(C98+C105)</f>
        <v>44795412</v>
      </c>
      <c r="D106" s="424">
        <f t="shared" si="1"/>
        <v>0</v>
      </c>
      <c r="E106" s="422"/>
      <c r="F106" s="421"/>
      <c r="G106" s="550"/>
    </row>
    <row r="107" spans="1:7" s="545" customFormat="1" ht="13">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Brendan O'Donnell</cp:lastModifiedBy>
  <cp:lastPrinted>2021-05-17T21:54:25Z</cp:lastPrinted>
  <dcterms:created xsi:type="dcterms:W3CDTF">2007-12-27T18:26:28Z</dcterms:created>
  <dcterms:modified xsi:type="dcterms:W3CDTF">2021-05-19T18:53:29Z</dcterms:modified>
</cp:coreProperties>
</file>