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Elk Grove (4%) (03-16)\TAB 40 - TCAC E-App\"/>
    </mc:Choice>
  </mc:AlternateContent>
  <bookViews>
    <workbookView xWindow="0" yWindow="0" windowWidth="19334" windowHeight="5911"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29" i="3" l="1"/>
  <c r="AE709" i="3" l="1"/>
  <c r="E45" i="4" l="1"/>
  <c r="C45" i="4"/>
  <c r="C54" i="4" s="1"/>
  <c r="Y829" i="3"/>
  <c r="U829" i="3"/>
  <c r="M829" i="3"/>
  <c r="E39" i="7"/>
  <c r="T728" i="3"/>
  <c r="T729" i="3"/>
  <c r="T730" i="3"/>
  <c r="T731" i="3"/>
  <c r="T732" i="3"/>
  <c r="T733" i="3"/>
  <c r="T734" i="3"/>
  <c r="T735" i="3"/>
  <c r="T736" i="3"/>
  <c r="T737" i="3"/>
  <c r="T738" i="3"/>
  <c r="T739" i="3"/>
  <c r="T740" i="3"/>
  <c r="T741" i="3"/>
  <c r="T742" i="3"/>
  <c r="T743" i="3"/>
  <c r="I4" i="8"/>
  <c r="I5" i="8"/>
  <c r="I6" i="8"/>
  <c r="I7" i="8"/>
  <c r="I8" i="8"/>
  <c r="I9" i="8"/>
  <c r="I10" i="8"/>
  <c r="I11" i="8"/>
  <c r="I12" i="8"/>
  <c r="I13" i="8"/>
  <c r="I14" i="8"/>
  <c r="I15" i="8"/>
  <c r="I16" i="8"/>
  <c r="I17" i="8"/>
  <c r="I18" i="8"/>
  <c r="I19" i="8"/>
  <c r="W845" i="3"/>
  <c r="E14" i="7" s="1"/>
  <c r="E15" i="7"/>
  <c r="G15" i="7" s="1"/>
  <c r="I15" i="7" s="1"/>
  <c r="K15" i="7" s="1"/>
  <c r="M15" i="7" s="1"/>
  <c r="O15" i="7" s="1"/>
  <c r="Q15" i="7" s="1"/>
  <c r="S15" i="7" s="1"/>
  <c r="U15" i="7" s="1"/>
  <c r="W15" i="7" s="1"/>
  <c r="Y15" i="7" s="1"/>
  <c r="AA15" i="7" s="1"/>
  <c r="AC15" i="7" s="1"/>
  <c r="AE15" i="7" s="1"/>
  <c r="AG15" i="7" s="1"/>
  <c r="W853" i="3"/>
  <c r="E16" i="7"/>
  <c r="G16" i="7" s="1"/>
  <c r="I16" i="7" s="1"/>
  <c r="K16" i="7" s="1"/>
  <c r="M16" i="7" s="1"/>
  <c r="O16" i="7" s="1"/>
  <c r="Q16" i="7" s="1"/>
  <c r="S16" i="7" s="1"/>
  <c r="U16" i="7" s="1"/>
  <c r="W16" i="7" s="1"/>
  <c r="Y16" i="7" s="1"/>
  <c r="AA16" i="7" s="1"/>
  <c r="AC16" i="7" s="1"/>
  <c r="W860" i="3"/>
  <c r="E17" i="7" s="1"/>
  <c r="G17" i="7" s="1"/>
  <c r="I17" i="7" s="1"/>
  <c r="K17" i="7" s="1"/>
  <c r="M17" i="7" s="1"/>
  <c r="O17" i="7" s="1"/>
  <c r="Q17" i="7" s="1"/>
  <c r="S17" i="7" s="1"/>
  <c r="U17" i="7" s="1"/>
  <c r="W17" i="7" s="1"/>
  <c r="Y17" i="7" s="1"/>
  <c r="AA17" i="7" s="1"/>
  <c r="AC17" i="7" s="1"/>
  <c r="AE17" i="7" s="1"/>
  <c r="AG17" i="7" s="1"/>
  <c r="W870" i="3"/>
  <c r="E19" i="7"/>
  <c r="G19" i="7" s="1"/>
  <c r="I19" i="7" s="1"/>
  <c r="K19" i="7" s="1"/>
  <c r="E30" i="7"/>
  <c r="E29" i="7"/>
  <c r="G29" i="7" s="1"/>
  <c r="I29" i="7" s="1"/>
  <c r="K29" i="7" s="1"/>
  <c r="M29" i="7" s="1"/>
  <c r="O29" i="7" s="1"/>
  <c r="G30" i="7"/>
  <c r="I30" i="7" s="1"/>
  <c r="K30" i="7" s="1"/>
  <c r="M30" i="7" s="1"/>
  <c r="O30" i="7" s="1"/>
  <c r="Q30" i="7" s="1"/>
  <c r="S30" i="7" s="1"/>
  <c r="U30" i="7" s="1"/>
  <c r="W30" i="7" s="1"/>
  <c r="Y30" i="7" s="1"/>
  <c r="AA30" i="7" s="1"/>
  <c r="AC30" i="7" s="1"/>
  <c r="AE30" i="7" s="1"/>
  <c r="AG30" i="7" s="1"/>
  <c r="M19" i="7"/>
  <c r="O19" i="7" s="1"/>
  <c r="Q19" i="7" s="1"/>
  <c r="S19" i="7" s="1"/>
  <c r="U19" i="7" s="1"/>
  <c r="W19" i="7" s="1"/>
  <c r="Y19" i="7" s="1"/>
  <c r="AA19" i="7" s="1"/>
  <c r="AC19" i="7" s="1"/>
  <c r="AE19" i="7" s="1"/>
  <c r="AG19" i="7" s="1"/>
  <c r="Q29" i="7"/>
  <c r="S29" i="7" s="1"/>
  <c r="U29" i="7" s="1"/>
  <c r="W29" i="7" s="1"/>
  <c r="Y29" i="7" s="1"/>
  <c r="AA29" i="7" s="1"/>
  <c r="AC29" i="7" s="1"/>
  <c r="AE29" i="7" s="1"/>
  <c r="AG29" i="7" s="1"/>
  <c r="AE16" i="7"/>
  <c r="AB50" i="15"/>
  <c r="R99" i="4"/>
  <c r="S99" i="4" s="1"/>
  <c r="R85" i="4"/>
  <c r="S85" i="4"/>
  <c r="R52" i="4"/>
  <c r="S52" i="4" s="1"/>
  <c r="R46" i="4"/>
  <c r="S46" i="4"/>
  <c r="R45" i="4"/>
  <c r="R35" i="4"/>
  <c r="S35" i="4" s="1"/>
  <c r="R33" i="4"/>
  <c r="S33" i="4" s="1"/>
  <c r="E33" i="13" s="1"/>
  <c r="R32" i="4"/>
  <c r="S32" i="4" s="1"/>
  <c r="R31" i="4"/>
  <c r="S31" i="4" s="1"/>
  <c r="R30" i="4"/>
  <c r="S30" i="4" s="1"/>
  <c r="S29" i="4"/>
  <c r="E29" i="13" s="1"/>
  <c r="L4" i="25"/>
  <c r="AD1036" i="3"/>
  <c r="C8" i="4"/>
  <c r="B85" i="4"/>
  <c r="B86" i="4"/>
  <c r="N157" i="25"/>
  <c r="C11" i="4"/>
  <c r="C63" i="4" s="1"/>
  <c r="C97" i="4" s="1"/>
  <c r="C105" i="4" s="1"/>
  <c r="C38" i="4"/>
  <c r="C42" i="4"/>
  <c r="C62" i="4"/>
  <c r="C70" i="4"/>
  <c r="C77" i="4"/>
  <c r="C81" i="4"/>
  <c r="C96" i="4"/>
  <c r="B96" i="13" s="1"/>
  <c r="C104" i="4"/>
  <c r="D54" i="4"/>
  <c r="AN28" i="25"/>
  <c r="AH28" i="25"/>
  <c r="AB28" i="25"/>
  <c r="V28" i="25"/>
  <c r="P28" i="25"/>
  <c r="AN27" i="25" a="1"/>
  <c r="AN27" i="25" s="1"/>
  <c r="AH27" i="25" a="1"/>
  <c r="AH27" i="25" s="1"/>
  <c r="AB27" i="25" a="1"/>
  <c r="AB27" i="25"/>
  <c r="V27" i="25" a="1"/>
  <c r="V27" i="25" s="1"/>
  <c r="P27" i="25" a="1"/>
  <c r="P27" i="25" s="1"/>
  <c r="AN26" i="25" a="1"/>
  <c r="AN26" i="25" s="1"/>
  <c r="AH26" i="25" a="1"/>
  <c r="AH26" i="25"/>
  <c r="AB26" i="25" a="1"/>
  <c r="AB26" i="25" s="1"/>
  <c r="V26" i="25" a="1"/>
  <c r="V26" i="25"/>
  <c r="P26" i="25" a="1"/>
  <c r="P26" i="25" s="1"/>
  <c r="AN25" i="25" a="1"/>
  <c r="AN25" i="25"/>
  <c r="AH25" i="25" a="1"/>
  <c r="AH25" i="25" s="1"/>
  <c r="AB25" i="25" a="1"/>
  <c r="AB25" i="25"/>
  <c r="V25" i="25" a="1"/>
  <c r="V25" i="25" s="1"/>
  <c r="P25" i="25" a="1"/>
  <c r="P25" i="25"/>
  <c r="J25" i="25" s="1"/>
  <c r="AN24" i="25" a="1"/>
  <c r="AN24" i="25" s="1"/>
  <c r="AH24" i="25" a="1"/>
  <c r="AH24" i="25" s="1"/>
  <c r="AB24" i="25"/>
  <c r="AB24" i="25" a="1"/>
  <c r="V24" i="25" a="1"/>
  <c r="V24" i="25"/>
  <c r="J24" i="25" s="1"/>
  <c r="P24" i="25" a="1"/>
  <c r="P24" i="25" s="1"/>
  <c r="AN23" i="25" a="1"/>
  <c r="AN23" i="25"/>
  <c r="AH23" i="25"/>
  <c r="AH23" i="25" a="1"/>
  <c r="AB23" i="25" a="1"/>
  <c r="AB23" i="25"/>
  <c r="V23" i="25" a="1"/>
  <c r="V23" i="25" s="1"/>
  <c r="P23" i="25" a="1"/>
  <c r="P23" i="25" s="1"/>
  <c r="J23" i="25" s="1"/>
  <c r="AN22" i="25" a="1"/>
  <c r="AN22" i="25" s="1"/>
  <c r="AH22" i="25" a="1"/>
  <c r="AH22" i="25"/>
  <c r="AB22" i="25" a="1"/>
  <c r="AB22" i="25" s="1"/>
  <c r="V22" i="25" a="1"/>
  <c r="V22" i="25"/>
  <c r="P22" i="25" a="1"/>
  <c r="P22" i="25" s="1"/>
  <c r="AN21" i="25" a="1"/>
  <c r="AN21" i="25"/>
  <c r="AH21" i="25" a="1"/>
  <c r="AH21" i="25" s="1"/>
  <c r="AB21" i="25" a="1"/>
  <c r="AB21" i="25"/>
  <c r="V21" i="25" a="1"/>
  <c r="V21" i="25" s="1"/>
  <c r="P21" i="25" a="1"/>
  <c r="P21" i="25"/>
  <c r="AN20" i="25" a="1"/>
  <c r="AN20" i="25" s="1"/>
  <c r="AH20" i="25" a="1"/>
  <c r="AH20" i="25" s="1"/>
  <c r="AB20" i="25" a="1"/>
  <c r="AB20" i="25" s="1"/>
  <c r="V20" i="25" a="1"/>
  <c r="V20" i="25"/>
  <c r="P20" i="25" a="1"/>
  <c r="P20" i="25" s="1"/>
  <c r="AN19" i="25" a="1"/>
  <c r="AN19" i="25" s="1"/>
  <c r="AN29" i="25" s="1"/>
  <c r="AH19" i="25" a="1"/>
  <c r="AH19" i="25" s="1"/>
  <c r="AB19" i="25" a="1"/>
  <c r="AB19" i="25"/>
  <c r="V19" i="25" a="1"/>
  <c r="V19" i="25" s="1"/>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17" i="3"/>
  <c r="BN618" i="3"/>
  <c r="BN619" i="3"/>
  <c r="BN620" i="3"/>
  <c r="BN621" i="3"/>
  <c r="BN622" i="3"/>
  <c r="BN623" i="3"/>
  <c r="BN624" i="3"/>
  <c r="BN625" i="3"/>
  <c r="BS610" i="3"/>
  <c r="BS611" i="3"/>
  <c r="BS612" i="3"/>
  <c r="BS613" i="3"/>
  <c r="BS614" i="3"/>
  <c r="BS615" i="3"/>
  <c r="BS616" i="3"/>
  <c r="BS617" i="3"/>
  <c r="BS618" i="3"/>
  <c r="BS619" i="3"/>
  <c r="BS620" i="3"/>
  <c r="BS621" i="3"/>
  <c r="BS622" i="3"/>
  <c r="BS623" i="3"/>
  <c r="BS624" i="3"/>
  <c r="BS625" i="3"/>
  <c r="BX610" i="3"/>
  <c r="BX611" i="3"/>
  <c r="BX612" i="3"/>
  <c r="BX613" i="3"/>
  <c r="BX614" i="3"/>
  <c r="BX615" i="3"/>
  <c r="BX616" i="3"/>
  <c r="BX617" i="3"/>
  <c r="BX618" i="3"/>
  <c r="BX619" i="3"/>
  <c r="BX620" i="3"/>
  <c r="BX621" i="3"/>
  <c r="BX622" i="3"/>
  <c r="BX623" i="3"/>
  <c r="BX624" i="3"/>
  <c r="BX625" i="3"/>
  <c r="CC610" i="3"/>
  <c r="CC611" i="3"/>
  <c r="CC612" i="3"/>
  <c r="CC613" i="3"/>
  <c r="CC614" i="3"/>
  <c r="CC615" i="3"/>
  <c r="CC616" i="3"/>
  <c r="CC617" i="3"/>
  <c r="CC618" i="3"/>
  <c r="CC619" i="3"/>
  <c r="CC620" i="3"/>
  <c r="CC621" i="3"/>
  <c r="CC622" i="3"/>
  <c r="CC623" i="3"/>
  <c r="CC624" i="3"/>
  <c r="CC625" i="3"/>
  <c r="CH610" i="3"/>
  <c r="CH611" i="3"/>
  <c r="CH612" i="3"/>
  <c r="CH613" i="3"/>
  <c r="CH614" i="3"/>
  <c r="CH615" i="3"/>
  <c r="CH616" i="3"/>
  <c r="CH617" i="3"/>
  <c r="CH618" i="3"/>
  <c r="CH619" i="3"/>
  <c r="CH620" i="3"/>
  <c r="CH621" i="3"/>
  <c r="CH622" i="3"/>
  <c r="CH623" i="3"/>
  <c r="CH624" i="3"/>
  <c r="CH625" i="3"/>
  <c r="CM610" i="3"/>
  <c r="CM611" i="3"/>
  <c r="CM612" i="3"/>
  <c r="CM613" i="3"/>
  <c r="CM614" i="3"/>
  <c r="CM615" i="3"/>
  <c r="CM616" i="3"/>
  <c r="CM617" i="3"/>
  <c r="CM618" i="3"/>
  <c r="CM619" i="3"/>
  <c r="CM620" i="3"/>
  <c r="CM621" i="3"/>
  <c r="CM622" i="3"/>
  <c r="CM623" i="3"/>
  <c r="CM624" i="3"/>
  <c r="CM625" i="3"/>
  <c r="J21" i="25"/>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09" i="20" a="1"/>
  <c r="AV109" i="20" s="1"/>
  <c r="AV108" i="20" a="1"/>
  <c r="AV108" i="20" s="1"/>
  <c r="AV107" i="20" a="1"/>
  <c r="AV107" i="20" s="1"/>
  <c r="AV106" i="20" a="1"/>
  <c r="AV106" i="20"/>
  <c r="AV105" i="20" a="1"/>
  <c r="AV105" i="20" s="1"/>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53" i="7"/>
  <c r="I53" i="7" s="1"/>
  <c r="G54" i="7"/>
  <c r="I54" i="7"/>
  <c r="K54" i="7"/>
  <c r="M54" i="7" s="1"/>
  <c r="O54" i="7" s="1"/>
  <c r="Q54" i="7" s="1"/>
  <c r="S54" i="7" s="1"/>
  <c r="U54" i="7" s="1"/>
  <c r="W54" i="7" s="1"/>
  <c r="Y54" i="7"/>
  <c r="AA54" i="7" s="1"/>
  <c r="AC54" i="7" s="1"/>
  <c r="AE54" i="7" s="1"/>
  <c r="AG54" i="7" s="1"/>
  <c r="G55" i="7"/>
  <c r="I55" i="7" s="1"/>
  <c r="K55" i="7" s="1"/>
  <c r="M55" i="7" s="1"/>
  <c r="O55" i="7" s="1"/>
  <c r="Q55" i="7"/>
  <c r="S55" i="7" s="1"/>
  <c r="U55" i="7" s="1"/>
  <c r="W55" i="7" s="1"/>
  <c r="Y55" i="7" s="1"/>
  <c r="AA55" i="7" s="1"/>
  <c r="AC55" i="7" s="1"/>
  <c r="AE55" i="7" s="1"/>
  <c r="AG55" i="7" s="1"/>
  <c r="G56" i="7"/>
  <c r="I56" i="7"/>
  <c r="K56" i="7" s="1"/>
  <c r="M56" i="7" s="1"/>
  <c r="O56" i="7" s="1"/>
  <c r="Q56" i="7" s="1"/>
  <c r="S56" i="7" s="1"/>
  <c r="U56" i="7" s="1"/>
  <c r="W56" i="7" s="1"/>
  <c r="Y56" i="7" s="1"/>
  <c r="AA56" i="7" s="1"/>
  <c r="AC56" i="7"/>
  <c r="AE56" i="7" s="1"/>
  <c r="AG56" i="7" s="1"/>
  <c r="G52" i="7"/>
  <c r="I52" i="7"/>
  <c r="K52" i="7" s="1"/>
  <c r="M52" i="7" s="1"/>
  <c r="A61" i="15"/>
  <c r="AF1005" i="3"/>
  <c r="BA500" i="3"/>
  <c r="BA492" i="3"/>
  <c r="G23" i="7"/>
  <c r="I23" i="7"/>
  <c r="K23" i="7"/>
  <c r="M23" i="7" s="1"/>
  <c r="O23" i="7" s="1"/>
  <c r="Q23" i="7" s="1"/>
  <c r="S23" i="7" s="1"/>
  <c r="U23" i="7" s="1"/>
  <c r="W23" i="7" s="1"/>
  <c r="Y23" i="7"/>
  <c r="AA23" i="7" s="1"/>
  <c r="AC23" i="7" s="1"/>
  <c r="AE23" i="7" s="1"/>
  <c r="AG23" i="7" s="1"/>
  <c r="E28" i="7"/>
  <c r="AG28" i="7"/>
  <c r="Q28" i="7"/>
  <c r="O28" i="7"/>
  <c r="AA28" i="7"/>
  <c r="W28" i="7"/>
  <c r="G28" i="7"/>
  <c r="S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AC743" i="3"/>
  <c r="E5" i="21"/>
  <c r="AC742" i="3"/>
  <c r="AC739" i="3"/>
  <c r="AC736" i="3"/>
  <c r="AC737" i="3"/>
  <c r="AC740" i="3"/>
  <c r="AC741" i="3"/>
  <c r="AC735" i="3"/>
  <c r="AM735" i="3" s="1"/>
  <c r="AC738" i="3"/>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K551" i="20" s="1"/>
  <c r="T797" i="20" s="1"/>
  <c r="AO358" i="20"/>
  <c r="AP278" i="20"/>
  <c r="AP277" i="20"/>
  <c r="AP276" i="20"/>
  <c r="AP279" i="20" s="1"/>
  <c r="AK320" i="20" s="1"/>
  <c r="AP275" i="20"/>
  <c r="AJ163" i="20"/>
  <c r="T790" i="20"/>
  <c r="AJ149" i="20"/>
  <c r="AK166" i="20" s="1"/>
  <c r="AO59" i="20"/>
  <c r="AO58" i="20"/>
  <c r="AO57" i="20"/>
  <c r="AO29" i="20"/>
  <c r="AO28" i="20"/>
  <c r="AO27" i="20"/>
  <c r="AO26" i="20"/>
  <c r="AO25" i="20"/>
  <c r="AO24" i="20"/>
  <c r="AO23" i="20"/>
  <c r="AO20" i="20"/>
  <c r="AO21" i="20"/>
  <c r="AO15" i="20"/>
  <c r="AO14" i="20"/>
  <c r="AO13" i="20"/>
  <c r="AO12" i="20"/>
  <c r="AO16" i="20" s="1"/>
  <c r="AO60" i="20"/>
  <c r="T789" i="20"/>
  <c r="T788" i="20" s="1"/>
  <c r="AF788" i="20" s="1"/>
  <c r="T794" i="20"/>
  <c r="AF794" i="20"/>
  <c r="A3" i="15"/>
  <c r="BA1000" i="3"/>
  <c r="AD64" i="15"/>
  <c r="T11" i="4"/>
  <c r="R10" i="4"/>
  <c r="S10" i="4" s="1"/>
  <c r="E10" i="13" s="1"/>
  <c r="R91" i="4"/>
  <c r="S91" i="4" s="1"/>
  <c r="E91" i="13" s="1"/>
  <c r="R84" i="4"/>
  <c r="S84" i="4" s="1"/>
  <c r="T25" i="15"/>
  <c r="AI7" i="15"/>
  <c r="AG440" i="3"/>
  <c r="AG443" i="3"/>
  <c r="B59" i="4"/>
  <c r="C80" i="11"/>
  <c r="C81" i="11"/>
  <c r="B80" i="11"/>
  <c r="B81" i="11"/>
  <c r="I96" i="13"/>
  <c r="J96" i="13"/>
  <c r="J81" i="13"/>
  <c r="I81" i="13"/>
  <c r="G81" i="13"/>
  <c r="F81" i="13"/>
  <c r="D81" i="13"/>
  <c r="C81" i="13"/>
  <c r="H80" i="13"/>
  <c r="B80" i="13"/>
  <c r="R80" i="4"/>
  <c r="S80" i="4" s="1"/>
  <c r="S81" i="4" s="1"/>
  <c r="E81" i="13" s="1"/>
  <c r="R79" i="4"/>
  <c r="S79" i="4" s="1"/>
  <c r="R81" i="4"/>
  <c r="D81" i="4"/>
  <c r="E81" i="4"/>
  <c r="F81" i="4"/>
  <c r="G81" i="4"/>
  <c r="H81" i="4"/>
  <c r="I81" i="4"/>
  <c r="J81" i="4"/>
  <c r="K81" i="4"/>
  <c r="L81" i="4"/>
  <c r="M81" i="4"/>
  <c r="N81" i="4"/>
  <c r="O81" i="4"/>
  <c r="P81" i="4"/>
  <c r="Q81" i="4"/>
  <c r="T81" i="4"/>
  <c r="H81" i="13" s="1"/>
  <c r="B81" i="4"/>
  <c r="B80" i="4"/>
  <c r="C9" i="7"/>
  <c r="C7" i="7"/>
  <c r="C5" i="7"/>
  <c r="A76" i="13"/>
  <c r="A61" i="13"/>
  <c r="A37" i="13"/>
  <c r="A25" i="13"/>
  <c r="A103" i="13"/>
  <c r="A95" i="13"/>
  <c r="A94" i="13"/>
  <c r="A93" i="13"/>
  <c r="AD68" i="15"/>
  <c r="B5" i="8"/>
  <c r="F5" i="8" s="1"/>
  <c r="B6" i="8"/>
  <c r="F6" i="8" s="1"/>
  <c r="B7" i="8"/>
  <c r="F7" i="8"/>
  <c r="B8" i="8"/>
  <c r="F8" i="8" s="1"/>
  <c r="B9" i="8"/>
  <c r="F9" i="8" s="1"/>
  <c r="B10" i="8"/>
  <c r="F10" i="8" s="1"/>
  <c r="B11" i="8"/>
  <c r="F11" i="8"/>
  <c r="B12" i="8"/>
  <c r="F12" i="8" s="1"/>
  <c r="B13" i="8"/>
  <c r="F13" i="8" s="1"/>
  <c r="B14" i="8"/>
  <c r="F14" i="8" s="1"/>
  <c r="B15" i="8"/>
  <c r="F15" i="8"/>
  <c r="B16" i="8"/>
  <c r="F16" i="8" s="1"/>
  <c r="B17" i="8"/>
  <c r="F17" i="8" s="1"/>
  <c r="B18" i="8"/>
  <c r="F18" i="8" s="1"/>
  <c r="B19" i="8"/>
  <c r="F19" i="8"/>
  <c r="B20" i="8"/>
  <c r="F20" i="8" s="1"/>
  <c r="B21" i="8"/>
  <c r="F21" i="8" s="1"/>
  <c r="B22" i="8"/>
  <c r="F22" i="8" s="1"/>
  <c r="B23" i="8"/>
  <c r="F23" i="8"/>
  <c r="B24" i="8"/>
  <c r="F24" i="8" s="1"/>
  <c r="B25" i="8"/>
  <c r="F25" i="8" s="1"/>
  <c r="B26" i="8"/>
  <c r="F26" i="8" s="1"/>
  <c r="B27" i="8"/>
  <c r="F27" i="8"/>
  <c r="B28" i="8"/>
  <c r="F28" i="8" s="1"/>
  <c r="AI20" i="15"/>
  <c r="AI22" i="15" s="1"/>
  <c r="AD20" i="15"/>
  <c r="AD22" i="15" s="1"/>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87" i="13"/>
  <c r="E86" i="13"/>
  <c r="E85" i="13"/>
  <c r="E84" i="13"/>
  <c r="E79" i="13"/>
  <c r="E52" i="13"/>
  <c r="E51" i="13"/>
  <c r="E48" i="13"/>
  <c r="E47" i="13"/>
  <c r="E46" i="13"/>
  <c r="E37" i="13"/>
  <c r="E35" i="13"/>
  <c r="E34" i="13"/>
  <c r="E32" i="13"/>
  <c r="E31" i="13"/>
  <c r="E30"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D63" i="13" s="1"/>
  <c r="C38" i="13"/>
  <c r="J26" i="13"/>
  <c r="I26" i="13"/>
  <c r="I11" i="13"/>
  <c r="G26" i="13"/>
  <c r="D26" i="13"/>
  <c r="C26" i="13"/>
  <c r="J11" i="13"/>
  <c r="D11" i="13"/>
  <c r="C11" i="13"/>
  <c r="C8" i="13"/>
  <c r="D8" i="13"/>
  <c r="T104" i="4"/>
  <c r="H104" i="13"/>
  <c r="R103" i="4"/>
  <c r="R102" i="4"/>
  <c r="R104" i="4" s="1"/>
  <c r="R101" i="4"/>
  <c r="R95" i="4"/>
  <c r="R94" i="4"/>
  <c r="R93" i="4"/>
  <c r="R92" i="4"/>
  <c r="S92" i="4" s="1"/>
  <c r="E92" i="13" s="1"/>
  <c r="R90" i="4"/>
  <c r="S90" i="4" s="1"/>
  <c r="E90" i="13" s="1"/>
  <c r="R89" i="4"/>
  <c r="S89" i="4" s="1"/>
  <c r="E89" i="13" s="1"/>
  <c r="R88" i="4"/>
  <c r="R96" i="4" s="1"/>
  <c r="R87" i="4"/>
  <c r="R86" i="4"/>
  <c r="S86" i="4" s="1"/>
  <c r="R83" i="4"/>
  <c r="R76" i="4"/>
  <c r="R75" i="4"/>
  <c r="R72" i="4"/>
  <c r="R73" i="4"/>
  <c r="R74" i="4"/>
  <c r="R69" i="4"/>
  <c r="R65" i="4"/>
  <c r="S65" i="4" s="1"/>
  <c r="R61" i="4"/>
  <c r="R60" i="4"/>
  <c r="R59" i="4"/>
  <c r="R58" i="4"/>
  <c r="R57" i="4"/>
  <c r="R56" i="4"/>
  <c r="R53" i="4"/>
  <c r="S53" i="4" s="1"/>
  <c r="E53" i="13" s="1"/>
  <c r="R51" i="4"/>
  <c r="S51" i="4" s="1"/>
  <c r="R50" i="4"/>
  <c r="S50" i="4" s="1"/>
  <c r="E50" i="13" s="1"/>
  <c r="R49" i="4"/>
  <c r="S49" i="4" s="1"/>
  <c r="E49" i="13" s="1"/>
  <c r="R48" i="4"/>
  <c r="R47" i="4"/>
  <c r="R43" i="4"/>
  <c r="S43" i="4" s="1"/>
  <c r="E43" i="13" s="1"/>
  <c r="R41" i="4"/>
  <c r="R40" i="4"/>
  <c r="S40" i="4" s="1"/>
  <c r="E40" i="13" s="1"/>
  <c r="R37" i="4"/>
  <c r="R34"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C51" i="11"/>
  <c r="D51" i="11" s="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44" i="3"/>
  <c r="T745" i="3"/>
  <c r="T746" i="3"/>
  <c r="T747" i="3"/>
  <c r="T748" i="3"/>
  <c r="T749" i="3"/>
  <c r="T750" i="3"/>
  <c r="T751" i="3"/>
  <c r="T752" i="3"/>
  <c r="AC772" i="3"/>
  <c r="AC773" i="3"/>
  <c r="AC776" i="3" s="1"/>
  <c r="AC774" i="3"/>
  <c r="AC775" i="3"/>
  <c r="AC786" i="3"/>
  <c r="AC787" i="3"/>
  <c r="AC788" i="3"/>
  <c r="AC789" i="3"/>
  <c r="AC790" i="3"/>
  <c r="AC791" i="3"/>
  <c r="AC796" i="3" s="1"/>
  <c r="AC792" i="3"/>
  <c r="AC793" i="3"/>
  <c r="AC794" i="3"/>
  <c r="AC795" i="3"/>
  <c r="Z815" i="3"/>
  <c r="E8" i="7"/>
  <c r="G8" i="7" s="1"/>
  <c r="E18" i="7"/>
  <c r="G18" i="7"/>
  <c r="I18" i="7" s="1"/>
  <c r="K18" i="7" s="1"/>
  <c r="M18" i="7" s="1"/>
  <c r="O18" i="7" s="1"/>
  <c r="Q18" i="7"/>
  <c r="S18" i="7" s="1"/>
  <c r="U18" i="7" s="1"/>
  <c r="W18" i="7" s="1"/>
  <c r="Y18" i="7" s="1"/>
  <c r="AA18" i="7" s="1"/>
  <c r="AC18" i="7" s="1"/>
  <c r="AE18" i="7" s="1"/>
  <c r="AG18" i="7" s="1"/>
  <c r="W877" i="3"/>
  <c r="E20" i="7"/>
  <c r="G20" i="7" s="1"/>
  <c r="I20" i="7" s="1"/>
  <c r="K20" i="7" s="1"/>
  <c r="M20" i="7" s="1"/>
  <c r="O20" i="7" s="1"/>
  <c r="Q20" i="7" s="1"/>
  <c r="S20" i="7" s="1"/>
  <c r="U20" i="7" s="1"/>
  <c r="W20" i="7" s="1"/>
  <c r="Y20" i="7" s="1"/>
  <c r="AA20" i="7" s="1"/>
  <c r="AC20" i="7" s="1"/>
  <c r="AE20" i="7" s="1"/>
  <c r="AG20" i="7" s="1"/>
  <c r="E25" i="7"/>
  <c r="G25" i="7"/>
  <c r="I25" i="7" s="1"/>
  <c r="K25" i="7" s="1"/>
  <c r="M25" i="7" s="1"/>
  <c r="O25" i="7" s="1"/>
  <c r="Q25" i="7"/>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c r="I31" i="7" s="1"/>
  <c r="K31" i="7" s="1"/>
  <c r="M31" i="7" s="1"/>
  <c r="O31" i="7" s="1"/>
  <c r="Q31" i="7" s="1"/>
  <c r="S31" i="7" s="1"/>
  <c r="U31" i="7" s="1"/>
  <c r="W31" i="7" s="1"/>
  <c r="Y31" i="7" s="1"/>
  <c r="AA31" i="7" s="1"/>
  <c r="AC31" i="7" s="1"/>
  <c r="AE31" i="7" s="1"/>
  <c r="AG31" i="7" s="1"/>
  <c r="E32" i="7"/>
  <c r="G32" i="7" s="1"/>
  <c r="I32" i="7" s="1"/>
  <c r="K32" i="7" s="1"/>
  <c r="M32" i="7" s="1"/>
  <c r="O32" i="7" s="1"/>
  <c r="Q32" i="7" s="1"/>
  <c r="S32" i="7"/>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s="1"/>
  <c r="T54" i="4"/>
  <c r="H54" i="13" s="1"/>
  <c r="T70" i="4"/>
  <c r="H70" i="13"/>
  <c r="T96" i="4"/>
  <c r="H96" i="13"/>
  <c r="CB799" i="3"/>
  <c r="DX610" i="3"/>
  <c r="DX611" i="3"/>
  <c r="DX612" i="3"/>
  <c r="DX613" i="3"/>
  <c r="DX614" i="3"/>
  <c r="DX615" i="3"/>
  <c r="DX616" i="3"/>
  <c r="DX617" i="3"/>
  <c r="DX618" i="3"/>
  <c r="DX619" i="3"/>
  <c r="DX620" i="3"/>
  <c r="DX621" i="3"/>
  <c r="DX622" i="3"/>
  <c r="DX623" i="3"/>
  <c r="DX624" i="3"/>
  <c r="DX625" i="3"/>
  <c r="BN626" i="3"/>
  <c r="DX626" i="3"/>
  <c r="BN627" i="3"/>
  <c r="DX627" i="3" s="1"/>
  <c r="BN628" i="3"/>
  <c r="DX628" i="3" s="1"/>
  <c r="BN629" i="3"/>
  <c r="DX629" i="3" s="1"/>
  <c r="BN630" i="3"/>
  <c r="DX630" i="3"/>
  <c r="BN631" i="3"/>
  <c r="DX631" i="3" s="1"/>
  <c r="BN632" i="3"/>
  <c r="DX632" i="3" s="1"/>
  <c r="BN633" i="3"/>
  <c r="DX633" i="3" s="1"/>
  <c r="BN634" i="3"/>
  <c r="DX634" i="3"/>
  <c r="BN640" i="3"/>
  <c r="BN641" i="3"/>
  <c r="BN642" i="3"/>
  <c r="BN643" i="3"/>
  <c r="BN648" i="3"/>
  <c r="CS648" i="3" s="1"/>
  <c r="BN649" i="3"/>
  <c r="CS649" i="3"/>
  <c r="BN650" i="3"/>
  <c r="CS650" i="3"/>
  <c r="BN651" i="3"/>
  <c r="CS651" i="3" s="1"/>
  <c r="BN652" i="3"/>
  <c r="CS652" i="3" s="1"/>
  <c r="BN653" i="3"/>
  <c r="CS653" i="3"/>
  <c r="BN654" i="3"/>
  <c r="CS654" i="3"/>
  <c r="BN655" i="3"/>
  <c r="CS655" i="3" s="1"/>
  <c r="BN656" i="3"/>
  <c r="CS656" i="3" s="1"/>
  <c r="BN657" i="3"/>
  <c r="CS657" i="3"/>
  <c r="EC610" i="3"/>
  <c r="EC611" i="3"/>
  <c r="EC612" i="3"/>
  <c r="EC613" i="3"/>
  <c r="EC614" i="3"/>
  <c r="EC615" i="3"/>
  <c r="EC616" i="3"/>
  <c r="EC617" i="3"/>
  <c r="EC618" i="3"/>
  <c r="EC619" i="3"/>
  <c r="EC620" i="3"/>
  <c r="EC621" i="3"/>
  <c r="EC622" i="3"/>
  <c r="EC623" i="3"/>
  <c r="EC624" i="3"/>
  <c r="EC625" i="3"/>
  <c r="BS626" i="3"/>
  <c r="EC626" i="3"/>
  <c r="BS627" i="3"/>
  <c r="EC627" i="3" s="1"/>
  <c r="BS628" i="3"/>
  <c r="EC628" i="3" s="1"/>
  <c r="BS629" i="3"/>
  <c r="EC629" i="3"/>
  <c r="BS630" i="3"/>
  <c r="EC630" i="3"/>
  <c r="BS631" i="3"/>
  <c r="EC631" i="3" s="1"/>
  <c r="BS632" i="3"/>
  <c r="EC632" i="3" s="1"/>
  <c r="BS633" i="3"/>
  <c r="EC633" i="3"/>
  <c r="BS634" i="3"/>
  <c r="EC634" i="3"/>
  <c r="BS640" i="3"/>
  <c r="BS641" i="3"/>
  <c r="BS642" i="3"/>
  <c r="BS643" i="3"/>
  <c r="BS648" i="3"/>
  <c r="CX648" i="3"/>
  <c r="BS649" i="3"/>
  <c r="CX649" i="3"/>
  <c r="BS650" i="3"/>
  <c r="CX650" i="3" s="1"/>
  <c r="BS651" i="3"/>
  <c r="BS652" i="3"/>
  <c r="CX652" i="3"/>
  <c r="BS653" i="3"/>
  <c r="CX653" i="3"/>
  <c r="BS654" i="3"/>
  <c r="CX654" i="3" s="1"/>
  <c r="BS655" i="3"/>
  <c r="CX655" i="3" s="1"/>
  <c r="BS656" i="3"/>
  <c r="CX656" i="3"/>
  <c r="BS657" i="3"/>
  <c r="CX657" i="3"/>
  <c r="EH610" i="3"/>
  <c r="EH611" i="3"/>
  <c r="EH612" i="3"/>
  <c r="EH613" i="3"/>
  <c r="EH614" i="3"/>
  <c r="EH615" i="3"/>
  <c r="EH616" i="3"/>
  <c r="EH617" i="3"/>
  <c r="EH618" i="3"/>
  <c r="EH619" i="3"/>
  <c r="EH620" i="3"/>
  <c r="EH621" i="3"/>
  <c r="EH622" i="3"/>
  <c r="EH623" i="3"/>
  <c r="EH624" i="3"/>
  <c r="EH625" i="3"/>
  <c r="BX626" i="3"/>
  <c r="EH626" i="3" s="1"/>
  <c r="BX627" i="3"/>
  <c r="EH627" i="3" s="1"/>
  <c r="BX628" i="3"/>
  <c r="EH628" i="3"/>
  <c r="BX629" i="3"/>
  <c r="EH629" i="3"/>
  <c r="BX630" i="3"/>
  <c r="EH630" i="3" s="1"/>
  <c r="BX631" i="3"/>
  <c r="EH631" i="3" s="1"/>
  <c r="BX632" i="3"/>
  <c r="EH632" i="3"/>
  <c r="BX633" i="3"/>
  <c r="EH633" i="3"/>
  <c r="BX634" i="3"/>
  <c r="EH634" i="3" s="1"/>
  <c r="BX640" i="3"/>
  <c r="BX641" i="3"/>
  <c r="BX642" i="3"/>
  <c r="BX643" i="3"/>
  <c r="BX648" i="3"/>
  <c r="DC648" i="3"/>
  <c r="BX649" i="3"/>
  <c r="DC649" i="3" s="1"/>
  <c r="BX650" i="3"/>
  <c r="DC650" i="3" s="1"/>
  <c r="BX651" i="3"/>
  <c r="DC651" i="3"/>
  <c r="BX652" i="3"/>
  <c r="DC652" i="3"/>
  <c r="BX653" i="3"/>
  <c r="DC653" i="3" s="1"/>
  <c r="DC658" i="3" s="1"/>
  <c r="BX654" i="3"/>
  <c r="DC654" i="3" s="1"/>
  <c r="BX655" i="3"/>
  <c r="DC655" i="3"/>
  <c r="BX656" i="3"/>
  <c r="DC656" i="3"/>
  <c r="BX657" i="3"/>
  <c r="DC657" i="3" s="1"/>
  <c r="EM610" i="3"/>
  <c r="EM611" i="3"/>
  <c r="EM612" i="3"/>
  <c r="EM613" i="3"/>
  <c r="EM614" i="3"/>
  <c r="EM615" i="3"/>
  <c r="EM616" i="3"/>
  <c r="EM617" i="3"/>
  <c r="EM618" i="3"/>
  <c r="EM619" i="3"/>
  <c r="EM620" i="3"/>
  <c r="EM621" i="3"/>
  <c r="EM622" i="3"/>
  <c r="EM623" i="3"/>
  <c r="EM624" i="3"/>
  <c r="EM625" i="3"/>
  <c r="CC626" i="3"/>
  <c r="EM626" i="3" s="1"/>
  <c r="CC627" i="3"/>
  <c r="EM627" i="3"/>
  <c r="CC628" i="3"/>
  <c r="EM628" i="3"/>
  <c r="CC629" i="3"/>
  <c r="EM629" i="3" s="1"/>
  <c r="CC630" i="3"/>
  <c r="EM630" i="3" s="1"/>
  <c r="CC631" i="3"/>
  <c r="EM631" i="3"/>
  <c r="CC632" i="3"/>
  <c r="EM632" i="3"/>
  <c r="CC633" i="3"/>
  <c r="EM633" i="3" s="1"/>
  <c r="CC634" i="3"/>
  <c r="EM634" i="3" s="1"/>
  <c r="CC640" i="3"/>
  <c r="CC641" i="3"/>
  <c r="CC642" i="3"/>
  <c r="CC643" i="3"/>
  <c r="CC648" i="3"/>
  <c r="DH648" i="3" s="1"/>
  <c r="CC649" i="3"/>
  <c r="CC650" i="3"/>
  <c r="DH650" i="3"/>
  <c r="CC651" i="3"/>
  <c r="DH651" i="3"/>
  <c r="CC652" i="3"/>
  <c r="DH652" i="3" s="1"/>
  <c r="CC653" i="3"/>
  <c r="DH653" i="3" s="1"/>
  <c r="CC654" i="3"/>
  <c r="DH654" i="3"/>
  <c r="CC655" i="3"/>
  <c r="DH655" i="3"/>
  <c r="CC656" i="3"/>
  <c r="DH656" i="3" s="1"/>
  <c r="CC657" i="3"/>
  <c r="DH657" i="3" s="1"/>
  <c r="CM648" i="3"/>
  <c r="DR648" i="3"/>
  <c r="CM649" i="3"/>
  <c r="DR649" i="3"/>
  <c r="CM650" i="3"/>
  <c r="DR650" i="3" s="1"/>
  <c r="CM651" i="3"/>
  <c r="DR651" i="3" s="1"/>
  <c r="CM652" i="3"/>
  <c r="DR652" i="3"/>
  <c r="CM653" i="3"/>
  <c r="DR653" i="3"/>
  <c r="CM654" i="3"/>
  <c r="DR654" i="3" s="1"/>
  <c r="CM655" i="3"/>
  <c r="DR655" i="3" s="1"/>
  <c r="CM656" i="3"/>
  <c r="DR656" i="3"/>
  <c r="CM657" i="3"/>
  <c r="DR657" i="3"/>
  <c r="CM640" i="3"/>
  <c r="CM641" i="3"/>
  <c r="CM642" i="3"/>
  <c r="CM644" i="3" s="1"/>
  <c r="CM643" i="3"/>
  <c r="EW610" i="3"/>
  <c r="EW611" i="3"/>
  <c r="EW612" i="3"/>
  <c r="EW613" i="3"/>
  <c r="EW614" i="3"/>
  <c r="EW615" i="3"/>
  <c r="EW616" i="3"/>
  <c r="EW617" i="3"/>
  <c r="EW618" i="3"/>
  <c r="EW619" i="3"/>
  <c r="EW620" i="3"/>
  <c r="EW621" i="3"/>
  <c r="EW622" i="3"/>
  <c r="EW623" i="3"/>
  <c r="EW624" i="3"/>
  <c r="EW625" i="3"/>
  <c r="CM626" i="3"/>
  <c r="EW626" i="3"/>
  <c r="CM627" i="3"/>
  <c r="EW627" i="3"/>
  <c r="CM628" i="3"/>
  <c r="EW628" i="3" s="1"/>
  <c r="CM629" i="3"/>
  <c r="EW629" i="3" s="1"/>
  <c r="CM630" i="3"/>
  <c r="EW630" i="3"/>
  <c r="CM631" i="3"/>
  <c r="EW631" i="3"/>
  <c r="CM632" i="3"/>
  <c r="EW632" i="3" s="1"/>
  <c r="CM633" i="3"/>
  <c r="EW633" i="3" s="1"/>
  <c r="CM634" i="3"/>
  <c r="EW634" i="3"/>
  <c r="ER610" i="3"/>
  <c r="ER611" i="3"/>
  <c r="ER612" i="3"/>
  <c r="ER613" i="3"/>
  <c r="ER614" i="3"/>
  <c r="ER615" i="3"/>
  <c r="ER616" i="3"/>
  <c r="ER617" i="3"/>
  <c r="ER618" i="3"/>
  <c r="ER619" i="3"/>
  <c r="ER620" i="3"/>
  <c r="ER621" i="3"/>
  <c r="ER622" i="3"/>
  <c r="ER623" i="3"/>
  <c r="ER624" i="3"/>
  <c r="ER625" i="3"/>
  <c r="CH626" i="3"/>
  <c r="ER626" i="3"/>
  <c r="CH627" i="3"/>
  <c r="ER627" i="3" s="1"/>
  <c r="CH628" i="3"/>
  <c r="ER628" i="3" s="1"/>
  <c r="CH629" i="3"/>
  <c r="ER629" i="3"/>
  <c r="CH630" i="3"/>
  <c r="ER630" i="3"/>
  <c r="CH631" i="3"/>
  <c r="ER631" i="3" s="1"/>
  <c r="CH632" i="3"/>
  <c r="ER632" i="3" s="1"/>
  <c r="CH633" i="3"/>
  <c r="ER633" i="3"/>
  <c r="CH634" i="3"/>
  <c r="ER634" i="3"/>
  <c r="CH640" i="3"/>
  <c r="CH641" i="3"/>
  <c r="CH642" i="3"/>
  <c r="CH644" i="3" s="1"/>
  <c r="CH643" i="3"/>
  <c r="CH648" i="3"/>
  <c r="DM648" i="3"/>
  <c r="CH649" i="3"/>
  <c r="DM649" i="3"/>
  <c r="CH650" i="3"/>
  <c r="DM650" i="3" s="1"/>
  <c r="CH651" i="3"/>
  <c r="CH658" i="3" s="1"/>
  <c r="DM651" i="3"/>
  <c r="DM658" i="3" s="1"/>
  <c r="CH652" i="3"/>
  <c r="DM652" i="3"/>
  <c r="CH653" i="3"/>
  <c r="DM653" i="3"/>
  <c r="CH654" i="3"/>
  <c r="DM654" i="3" s="1"/>
  <c r="CH655" i="3"/>
  <c r="DM655" i="3"/>
  <c r="CH656" i="3"/>
  <c r="DM656" i="3"/>
  <c r="CH657" i="3"/>
  <c r="DM657" i="3"/>
  <c r="AJ980" i="3"/>
  <c r="AJ990" i="3"/>
  <c r="BE610" i="3"/>
  <c r="BG610" i="3"/>
  <c r="BE611" i="3"/>
  <c r="BG611" i="3"/>
  <c r="BE612" i="3"/>
  <c r="BG612" i="3"/>
  <c r="BE613" i="3"/>
  <c r="BG613" i="3" s="1"/>
  <c r="BE614" i="3"/>
  <c r="BG614" i="3" s="1"/>
  <c r="BE615" i="3"/>
  <c r="BG615" i="3"/>
  <c r="BE616" i="3"/>
  <c r="BG616" i="3"/>
  <c r="BE617" i="3"/>
  <c r="BG617" i="3" s="1"/>
  <c r="BE618" i="3"/>
  <c r="BG618" i="3"/>
  <c r="BE619" i="3"/>
  <c r="BG619" i="3"/>
  <c r="BE620" i="3"/>
  <c r="BG620" i="3"/>
  <c r="BE621" i="3"/>
  <c r="BG621" i="3" s="1"/>
  <c r="BE622" i="3"/>
  <c r="BG622" i="3" s="1"/>
  <c r="BE623" i="3"/>
  <c r="BG623" i="3"/>
  <c r="BE624" i="3"/>
  <c r="BG624" i="3"/>
  <c r="BE625" i="3"/>
  <c r="BG625" i="3" s="1"/>
  <c r="BE626" i="3"/>
  <c r="BG626" i="3"/>
  <c r="BE627" i="3"/>
  <c r="BG627" i="3"/>
  <c r="BE628" i="3"/>
  <c r="BG628" i="3"/>
  <c r="BE629" i="3"/>
  <c r="BG629" i="3" s="1"/>
  <c r="BE630" i="3"/>
  <c r="BG630" i="3" s="1"/>
  <c r="BE631" i="3"/>
  <c r="BG631" i="3"/>
  <c r="BE632" i="3"/>
  <c r="BG632" i="3"/>
  <c r="BE633" i="3"/>
  <c r="BG633" i="3" s="1"/>
  <c r="BE634" i="3"/>
  <c r="BG634" i="3" s="1"/>
  <c r="BI610" i="3"/>
  <c r="BK610" i="3"/>
  <c r="BI611" i="3"/>
  <c r="BK611" i="3"/>
  <c r="BI612" i="3"/>
  <c r="BK612" i="3" s="1"/>
  <c r="BI613" i="3"/>
  <c r="BK613" i="3"/>
  <c r="BI614" i="3"/>
  <c r="BK614" i="3"/>
  <c r="BI615" i="3"/>
  <c r="BK615" i="3"/>
  <c r="BI616" i="3"/>
  <c r="BK616" i="3" s="1"/>
  <c r="BI617" i="3"/>
  <c r="BK617" i="3"/>
  <c r="BI618" i="3"/>
  <c r="BK618" i="3"/>
  <c r="BI619" i="3"/>
  <c r="BK619" i="3"/>
  <c r="BI620" i="3"/>
  <c r="BK620" i="3" s="1"/>
  <c r="BI621" i="3"/>
  <c r="BK621" i="3" s="1"/>
  <c r="BI622" i="3"/>
  <c r="BK622" i="3"/>
  <c r="BI623" i="3"/>
  <c r="BK623" i="3"/>
  <c r="BI624" i="3"/>
  <c r="BK624" i="3" s="1"/>
  <c r="BI625" i="3"/>
  <c r="BK625" i="3"/>
  <c r="BI626" i="3"/>
  <c r="BK626" i="3"/>
  <c r="BI627" i="3"/>
  <c r="BK627" i="3"/>
  <c r="BI628" i="3"/>
  <c r="BK628" i="3" s="1"/>
  <c r="BI629" i="3"/>
  <c r="BK629" i="3" s="1"/>
  <c r="BI630" i="3"/>
  <c r="BK630" i="3"/>
  <c r="BI631" i="3"/>
  <c r="BK631" i="3"/>
  <c r="BI632" i="3"/>
  <c r="BK632" i="3" s="1"/>
  <c r="BI633" i="3"/>
  <c r="BK633" i="3"/>
  <c r="BI634" i="3"/>
  <c r="BK634" i="3"/>
  <c r="C26" i="4"/>
  <c r="B26" i="13"/>
  <c r="B38" i="13"/>
  <c r="B54" i="13"/>
  <c r="B62" i="13"/>
  <c r="B77" i="13"/>
  <c r="B104" i="13"/>
  <c r="D8" i="4"/>
  <c r="D11" i="4"/>
  <c r="D26" i="4"/>
  <c r="B26" i="4" s="1"/>
  <c r="D38" i="4"/>
  <c r="D42" i="4"/>
  <c r="B54" i="4"/>
  <c r="D62" i="4"/>
  <c r="D77" i="4"/>
  <c r="D96" i="4"/>
  <c r="D104" i="4"/>
  <c r="B104" i="4"/>
  <c r="AO649" i="3"/>
  <c r="AO651" i="3" s="1"/>
  <c r="S26" i="4"/>
  <c r="E26" i="13" s="1"/>
  <c r="S38" i="4"/>
  <c r="S96" i="4"/>
  <c r="E96" i="13" s="1"/>
  <c r="S104" i="4"/>
  <c r="E104" i="13" s="1"/>
  <c r="F2" i="4"/>
  <c r="G2" i="4"/>
  <c r="H2" i="4"/>
  <c r="I2" i="4"/>
  <c r="J2" i="4"/>
  <c r="K2" i="4"/>
  <c r="L2" i="4"/>
  <c r="M2" i="4"/>
  <c r="N2" i="4"/>
  <c r="O2" i="4"/>
  <c r="P2" i="4"/>
  <c r="Q2" i="4"/>
  <c r="B4" i="4"/>
  <c r="B5" i="4"/>
  <c r="B6" i="4"/>
  <c r="B7" i="4"/>
  <c r="E8" i="4"/>
  <c r="F8" i="4"/>
  <c r="G8" i="4"/>
  <c r="G11" i="4"/>
  <c r="H8" i="4"/>
  <c r="H11" i="4"/>
  <c r="I8" i="4"/>
  <c r="I12" i="4" s="1"/>
  <c r="I11" i="4"/>
  <c r="J8" i="4"/>
  <c r="J11" i="4"/>
  <c r="J26" i="4"/>
  <c r="J63" i="4" s="1"/>
  <c r="J97" i="4" s="1"/>
  <c r="J105" i="4" s="1"/>
  <c r="J38" i="4"/>
  <c r="J42" i="4"/>
  <c r="J54" i="4"/>
  <c r="J62" i="4"/>
  <c r="J70" i="4"/>
  <c r="J77" i="4"/>
  <c r="J96" i="4"/>
  <c r="J104" i="4"/>
  <c r="K8" i="4"/>
  <c r="K11" i="4"/>
  <c r="L8" i="4"/>
  <c r="L11" i="4"/>
  <c r="L63" i="4" s="1"/>
  <c r="M8" i="4"/>
  <c r="M11" i="4"/>
  <c r="N8" i="4"/>
  <c r="O8" i="4"/>
  <c r="O12" i="4" s="1"/>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K63" i="4" s="1"/>
  <c r="L38" i="4"/>
  <c r="O38" i="4"/>
  <c r="P38" i="4"/>
  <c r="P42" i="4"/>
  <c r="P54" i="4"/>
  <c r="P62" i="4"/>
  <c r="P70" i="4"/>
  <c r="P77" i="4"/>
  <c r="P96" i="4"/>
  <c r="P104" i="4"/>
  <c r="Q38" i="4"/>
  <c r="B40" i="4"/>
  <c r="B41" i="4"/>
  <c r="E42" i="4"/>
  <c r="G42" i="4"/>
  <c r="H42" i="4"/>
  <c r="H63" i="4" s="1"/>
  <c r="H97" i="4" s="1"/>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K97" i="4" s="1"/>
  <c r="K105" i="4" s="1"/>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CX635" i="3" s="1"/>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A679" i="3"/>
  <c r="AM737" i="3" s="1"/>
  <c r="BA680" i="3"/>
  <c r="AM738" i="3" s="1"/>
  <c r="BA681" i="3"/>
  <c r="G685" i="3"/>
  <c r="Z685" i="3"/>
  <c r="BA682" i="3"/>
  <c r="AM740" i="3" s="1"/>
  <c r="BA683" i="3"/>
  <c r="AM741" i="3" s="1"/>
  <c r="BA684" i="3"/>
  <c r="BA685" i="3"/>
  <c r="AM743" i="3" s="1"/>
  <c r="BA686" i="3"/>
  <c r="BA687" i="3"/>
  <c r="BA688" i="3"/>
  <c r="BA689" i="3"/>
  <c r="G693" i="3"/>
  <c r="Z693" i="3"/>
  <c r="BA690" i="3"/>
  <c r="BA691" i="3"/>
  <c r="BA692" i="3"/>
  <c r="BA693" i="3"/>
  <c r="BA694" i="3"/>
  <c r="W710" i="3"/>
  <c r="AC728" i="3"/>
  <c r="AM728" i="3" s="1"/>
  <c r="AC729" i="3"/>
  <c r="AC730" i="3"/>
  <c r="AC731" i="3"/>
  <c r="AC732" i="3"/>
  <c r="AM732" i="3" s="1"/>
  <c r="AC733" i="3"/>
  <c r="AM733" i="3" s="1"/>
  <c r="AC734" i="3"/>
  <c r="AC744" i="3"/>
  <c r="AM744" i="3"/>
  <c r="AC745" i="3"/>
  <c r="AM745" i="3"/>
  <c r="AC746" i="3"/>
  <c r="AM746" i="3"/>
  <c r="AC747" i="3"/>
  <c r="AM747" i="3"/>
  <c r="AC748" i="3"/>
  <c r="AM748" i="3"/>
  <c r="AC749" i="3"/>
  <c r="AM749" i="3"/>
  <c r="AC750" i="3"/>
  <c r="AM750" i="3"/>
  <c r="AC751" i="3"/>
  <c r="AM751" i="3"/>
  <c r="AC752" i="3"/>
  <c r="AM752" i="3"/>
  <c r="G753" i="3"/>
  <c r="O796" i="3"/>
  <c r="BA987" i="3" s="1"/>
  <c r="O776" i="3"/>
  <c r="M830" i="3"/>
  <c r="Q830" i="3"/>
  <c r="U830" i="3"/>
  <c r="Y830" i="3"/>
  <c r="AC830" i="3"/>
  <c r="AG830" i="3"/>
  <c r="BI844" i="3"/>
  <c r="Z899" i="3"/>
  <c r="BA997" i="3"/>
  <c r="BA995" i="3" s="1"/>
  <c r="BA998" i="3"/>
  <c r="BA999" i="3"/>
  <c r="BA1001" i="3"/>
  <c r="BA1002" i="3"/>
  <c r="BA1003" i="3"/>
  <c r="BA1004" i="3"/>
  <c r="BA1005" i="3"/>
  <c r="AF1000" i="3"/>
  <c r="B70" i="4"/>
  <c r="E6" i="21"/>
  <c r="E92" i="20"/>
  <c r="B77" i="4"/>
  <c r="E93" i="20"/>
  <c r="B27" i="11"/>
  <c r="D49" i="11"/>
  <c r="D50" i="11"/>
  <c r="C27" i="11"/>
  <c r="EC635" i="3"/>
  <c r="I63" i="13"/>
  <c r="I97" i="13" s="1"/>
  <c r="I105" i="13" s="1"/>
  <c r="I107" i="13" s="1"/>
  <c r="B81" i="13"/>
  <c r="D54" i="11"/>
  <c r="D53" i="11"/>
  <c r="J63" i="13"/>
  <c r="J97" i="13"/>
  <c r="J105" i="13" s="1"/>
  <c r="J107" i="13" s="1"/>
  <c r="L12" i="4"/>
  <c r="D48" i="11"/>
  <c r="R970" i="3"/>
  <c r="R973" i="3"/>
  <c r="R971" i="3"/>
  <c r="R972" i="3"/>
  <c r="R969" i="3"/>
  <c r="AG444" i="3"/>
  <c r="D93" i="11"/>
  <c r="D5" i="11"/>
  <c r="D70" i="11"/>
  <c r="D80" i="11"/>
  <c r="D52" i="11"/>
  <c r="G12" i="4"/>
  <c r="D46" i="11"/>
  <c r="D6" i="11"/>
  <c r="L97" i="4"/>
  <c r="L105" i="4" s="1"/>
  <c r="Q12" i="4"/>
  <c r="B11" i="4"/>
  <c r="D18" i="11"/>
  <c r="R70" i="4"/>
  <c r="D10" i="11"/>
  <c r="D36" i="11"/>
  <c r="G63" i="13"/>
  <c r="G97" i="13"/>
  <c r="G105" i="13"/>
  <c r="G107" i="13" s="1"/>
  <c r="D61" i="11"/>
  <c r="D57" i="11"/>
  <c r="D20" i="11"/>
  <c r="D8" i="11"/>
  <c r="D85" i="11"/>
  <c r="B43" i="11"/>
  <c r="D102" i="11"/>
  <c r="D94" i="11"/>
  <c r="K12" i="4"/>
  <c r="C43" i="11"/>
  <c r="D43" i="11" s="1"/>
  <c r="C12" i="13"/>
  <c r="B78" i="11"/>
  <c r="D78" i="11" s="1"/>
  <c r="D7" i="11"/>
  <c r="J12" i="4"/>
  <c r="D22" i="11"/>
  <c r="D27" i="11" s="1"/>
  <c r="I63" i="4"/>
  <c r="I97" i="4" s="1"/>
  <c r="I105" i="4" s="1"/>
  <c r="D95" i="11"/>
  <c r="D25" i="11"/>
  <c r="B82" i="11"/>
  <c r="B11" i="13"/>
  <c r="D12" i="4"/>
  <c r="R77" i="4"/>
  <c r="H12" i="4"/>
  <c r="C82" i="11"/>
  <c r="D82" i="11" s="1"/>
  <c r="B9" i="11"/>
  <c r="B13" i="11" s="1"/>
  <c r="C39" i="11"/>
  <c r="D23" i="11"/>
  <c r="D19" i="11"/>
  <c r="D89" i="11"/>
  <c r="D73" i="11"/>
  <c r="D44" i="11"/>
  <c r="D35" i="11"/>
  <c r="D76" i="11"/>
  <c r="D31" i="11"/>
  <c r="D32" i="11"/>
  <c r="D15" i="11"/>
  <c r="D97" i="13"/>
  <c r="D105" i="13" s="1"/>
  <c r="D14" i="11"/>
  <c r="Q63" i="4"/>
  <c r="Q97" i="4" s="1"/>
  <c r="Q105" i="4" s="1"/>
  <c r="C105" i="11"/>
  <c r="D105" i="11" s="1"/>
  <c r="D87" i="11"/>
  <c r="N63" i="4"/>
  <c r="N97" i="4" s="1"/>
  <c r="N105" i="4" s="1"/>
  <c r="N12" i="4"/>
  <c r="H105" i="4"/>
  <c r="F12" i="4"/>
  <c r="D60" i="11"/>
  <c r="M12" i="4"/>
  <c r="R8" i="4"/>
  <c r="R12" i="4" s="1"/>
  <c r="D84" i="11"/>
  <c r="D74" i="11"/>
  <c r="D59" i="11"/>
  <c r="D38" i="11"/>
  <c r="P63" i="4"/>
  <c r="P97" i="4" s="1"/>
  <c r="P105" i="4" s="1"/>
  <c r="B38" i="4"/>
  <c r="C63" i="11"/>
  <c r="B63" i="11"/>
  <c r="C9" i="11"/>
  <c r="D12" i="13"/>
  <c r="D58" i="11"/>
  <c r="D100" i="11"/>
  <c r="D62" i="11"/>
  <c r="D24" i="11"/>
  <c r="D101" i="11"/>
  <c r="D90" i="11"/>
  <c r="R62" i="4"/>
  <c r="D66" i="11"/>
  <c r="R38" i="4"/>
  <c r="C63" i="13"/>
  <c r="C97" i="13"/>
  <c r="C105" i="13" s="1"/>
  <c r="D92" i="11"/>
  <c r="D75" i="11"/>
  <c r="B71" i="11"/>
  <c r="B39" i="11"/>
  <c r="D28" i="11"/>
  <c r="C55" i="11"/>
  <c r="D103" i="11"/>
  <c r="D88" i="11"/>
  <c r="C78" i="11"/>
  <c r="D42" i="11"/>
  <c r="D21" i="11"/>
  <c r="D16" i="11"/>
  <c r="B12" i="11"/>
  <c r="R26" i="4"/>
  <c r="D81" i="11"/>
  <c r="D86" i="11"/>
  <c r="B55" i="11"/>
  <c r="F63" i="13"/>
  <c r="F97" i="13" s="1"/>
  <c r="F105" i="13" s="1"/>
  <c r="F107" i="13" s="1"/>
  <c r="AM731" i="3"/>
  <c r="AM730" i="3"/>
  <c r="AB48" i="15"/>
  <c r="AD193" i="20"/>
  <c r="B42" i="4"/>
  <c r="D77" i="11"/>
  <c r="D47" i="11"/>
  <c r="C71" i="11"/>
  <c r="M63" i="4"/>
  <c r="M97" i="4" s="1"/>
  <c r="M105" i="4" s="1"/>
  <c r="G63" i="4"/>
  <c r="G97" i="4" s="1"/>
  <c r="G105" i="4" s="1"/>
  <c r="D91" i="11"/>
  <c r="D41" i="11"/>
  <c r="C12" i="11"/>
  <c r="D12" i="11" s="1"/>
  <c r="B62" i="4"/>
  <c r="B105" i="11"/>
  <c r="AD7" i="15"/>
  <c r="E63" i="4"/>
  <c r="BN644" i="3"/>
  <c r="BR645" i="3" s="1"/>
  <c r="CQ645" i="3"/>
  <c r="CL645" i="3"/>
  <c r="BS644" i="3"/>
  <c r="BW645" i="3"/>
  <c r="AG39" i="7"/>
  <c r="AG42" i="7" s="1"/>
  <c r="BX644" i="3"/>
  <c r="CB645" i="3" s="1"/>
  <c r="Y7" i="15"/>
  <c r="T7" i="15"/>
  <c r="K27" i="7"/>
  <c r="O27" i="7"/>
  <c r="I27" i="7"/>
  <c r="W27" i="7"/>
  <c r="S27" i="7"/>
  <c r="Y27" i="7"/>
  <c r="AC27" i="7"/>
  <c r="AG27" i="7"/>
  <c r="M27" i="7"/>
  <c r="G27" i="7"/>
  <c r="AA27" i="7"/>
  <c r="Q27" i="7"/>
  <c r="U27" i="7"/>
  <c r="BX658" i="3"/>
  <c r="CB659" i="3" s="1"/>
  <c r="AC882" i="3"/>
  <c r="AC881" i="3"/>
  <c r="AC883" i="3" s="1"/>
  <c r="I1027" i="3"/>
  <c r="BN658" i="3"/>
  <c r="CC644" i="3"/>
  <c r="CG645" i="3"/>
  <c r="CL659" i="3"/>
  <c r="CM658" i="3"/>
  <c r="CQ659" i="3" s="1"/>
  <c r="DC635" i="3"/>
  <c r="DM635" i="3"/>
  <c r="BG635" i="3"/>
  <c r="X1027" i="3" s="1"/>
  <c r="BA989" i="3" s="1"/>
  <c r="E9" i="7"/>
  <c r="F30" i="8"/>
  <c r="G9" i="7"/>
  <c r="I8" i="7"/>
  <c r="AG16" i="7"/>
  <c r="D104" i="11"/>
  <c r="E12" i="4"/>
  <c r="B96" i="4"/>
  <c r="T63" i="4"/>
  <c r="H63" i="13" s="1"/>
  <c r="T97" i="4"/>
  <c r="D11" i="11"/>
  <c r="C12" i="4"/>
  <c r="B12" i="13"/>
  <c r="CS645" i="3"/>
  <c r="B97" i="11"/>
  <c r="Y27" i="15"/>
  <c r="D71" i="11"/>
  <c r="D9" i="11"/>
  <c r="D63" i="11"/>
  <c r="D39" i="11"/>
  <c r="B64" i="11"/>
  <c r="B98" i="11" s="1"/>
  <c r="B106" i="11" s="1"/>
  <c r="D55" i="11"/>
  <c r="D26" i="11"/>
  <c r="B63" i="13"/>
  <c r="I1031" i="3"/>
  <c r="K8" i="7"/>
  <c r="I9" i="7"/>
  <c r="T105" i="4"/>
  <c r="H105" i="13" s="1"/>
  <c r="H97" i="13"/>
  <c r="B97" i="13"/>
  <c r="AG252" i="20"/>
  <c r="D96" i="11"/>
  <c r="C97" i="11"/>
  <c r="M8" i="7"/>
  <c r="K9" i="7"/>
  <c r="T107" i="4"/>
  <c r="H107" i="13" s="1"/>
  <c r="AC454" i="3"/>
  <c r="B105" i="13"/>
  <c r="AP83" i="20"/>
  <c r="AJ1015" i="3"/>
  <c r="AJ1011" i="3"/>
  <c r="AJ1008" i="3"/>
  <c r="AJ977" i="3"/>
  <c r="AJ986" i="3"/>
  <c r="AJ995" i="3"/>
  <c r="AJ992" i="3"/>
  <c r="AZ846" i="3"/>
  <c r="AZ849" i="3"/>
  <c r="AZ854" i="3"/>
  <c r="AP581" i="20"/>
  <c r="AQ581" i="20"/>
  <c r="AS577" i="20" s="1"/>
  <c r="AS573" i="20" s="1"/>
  <c r="AK684" i="20" s="1"/>
  <c r="T798" i="20" s="1"/>
  <c r="AF798" i="20" s="1"/>
  <c r="EH635" i="3" l="1"/>
  <c r="EW635" i="3"/>
  <c r="AM734" i="3"/>
  <c r="AD11" i="15"/>
  <c r="AD23" i="15" s="1"/>
  <c r="AD26" i="15" s="1"/>
  <c r="BG243" i="3"/>
  <c r="BO245" i="3" s="1"/>
  <c r="T266" i="3" s="1"/>
  <c r="DH649" i="3"/>
  <c r="DH658" i="3" s="1"/>
  <c r="CC658" i="3"/>
  <c r="CG659" i="3" s="1"/>
  <c r="EM635" i="3"/>
  <c r="EC650" i="3"/>
  <c r="V29" i="25"/>
  <c r="DR658" i="3"/>
  <c r="CM663" i="3"/>
  <c r="BK635" i="3"/>
  <c r="X1031" i="3" s="1"/>
  <c r="AD27" i="15"/>
  <c r="AI27" i="15"/>
  <c r="CS635" i="3"/>
  <c r="S41" i="4"/>
  <c r="R42" i="4"/>
  <c r="O8" i="7"/>
  <c r="M9" i="7"/>
  <c r="BR659" i="3"/>
  <c r="BG696" i="3"/>
  <c r="DR635" i="3"/>
  <c r="DH635" i="3"/>
  <c r="P29" i="25"/>
  <c r="J19" i="25"/>
  <c r="T27" i="15"/>
  <c r="E97" i="4"/>
  <c r="E105" i="4" s="1"/>
  <c r="O63" i="4"/>
  <c r="O97" i="4" s="1"/>
  <c r="O105" i="4" s="1"/>
  <c r="E38" i="13"/>
  <c r="ER635" i="3"/>
  <c r="EM657" i="3"/>
  <c r="CX651" i="3"/>
  <c r="CX658" i="3" s="1"/>
  <c r="BS658" i="3"/>
  <c r="BW659" i="3" s="1"/>
  <c r="CS658" i="3"/>
  <c r="DX635" i="3"/>
  <c r="T796" i="20"/>
  <c r="AK553" i="20"/>
  <c r="T795" i="20" s="1"/>
  <c r="AF795" i="20" s="1"/>
  <c r="AK750" i="20"/>
  <c r="T793" i="20" s="1"/>
  <c r="AF793" i="20" s="1"/>
  <c r="D97" i="11"/>
  <c r="CS644" i="3"/>
  <c r="AI11" i="15"/>
  <c r="AI23" i="15" s="1"/>
  <c r="AI26" i="15" s="1"/>
  <c r="AI28" i="15" s="1"/>
  <c r="AG1024" i="3"/>
  <c r="C13" i="11"/>
  <c r="D13" i="11" s="1"/>
  <c r="C64" i="11"/>
  <c r="AD1035" i="3"/>
  <c r="AD1037" i="3" s="1"/>
  <c r="E4" i="21" s="1"/>
  <c r="S45" i="4"/>
  <c r="R54" i="4"/>
  <c r="S70" i="4"/>
  <c r="E70" i="13" s="1"/>
  <c r="E65" i="13"/>
  <c r="AO30" i="20"/>
  <c r="AO32" i="20" s="1"/>
  <c r="AK51" i="20" s="1"/>
  <c r="CC635" i="3"/>
  <c r="EM655" i="3" s="1"/>
  <c r="J27" i="25"/>
  <c r="M39" i="7"/>
  <c r="M42" i="7" s="1"/>
  <c r="AC39" i="7"/>
  <c r="AC42" i="7" s="1"/>
  <c r="S39" i="7"/>
  <c r="S42" i="7" s="1"/>
  <c r="I39" i="7"/>
  <c r="I42" i="7" s="1"/>
  <c r="Y39" i="7"/>
  <c r="Y42" i="7" s="1"/>
  <c r="E42" i="7"/>
  <c r="K39" i="7"/>
  <c r="K42" i="7" s="1"/>
  <c r="AA39" i="7"/>
  <c r="AA42" i="7" s="1"/>
  <c r="Q39" i="7"/>
  <c r="Q42" i="7" s="1"/>
  <c r="O39" i="7"/>
  <c r="O42" i="7" s="1"/>
  <c r="AE39" i="7"/>
  <c r="AE42" i="7" s="1"/>
  <c r="G39" i="7"/>
  <c r="G42" i="7" s="1"/>
  <c r="U39" i="7"/>
  <c r="U42" i="7" s="1"/>
  <c r="CM635" i="3"/>
  <c r="EW660" i="3" s="1"/>
  <c r="CH635" i="3"/>
  <c r="ER650" i="3" s="1"/>
  <c r="BS635" i="3"/>
  <c r="EC656" i="3" s="1"/>
  <c r="D63" i="4"/>
  <c r="D97" i="4" s="1"/>
  <c r="BH715" i="3"/>
  <c r="BI715" i="3" s="1"/>
  <c r="K53" i="7"/>
  <c r="I57" i="7"/>
  <c r="AV110" i="20"/>
  <c r="AW109" i="20" s="1"/>
  <c r="J20" i="25"/>
  <c r="W39" i="7"/>
  <c r="W42" i="7" s="1"/>
  <c r="O52" i="7"/>
  <c r="J22" i="25"/>
  <c r="J26" i="25"/>
  <c r="E80" i="13"/>
  <c r="AM739" i="3"/>
  <c r="BG728" i="3"/>
  <c r="BH720" i="3"/>
  <c r="BI720" i="3" s="1"/>
  <c r="AE28" i="7"/>
  <c r="M28" i="7"/>
  <c r="AC28" i="7"/>
  <c r="BX635" i="3"/>
  <c r="EH640" i="3" s="1"/>
  <c r="AB29" i="25"/>
  <c r="Y28" i="7"/>
  <c r="B8" i="4"/>
  <c r="E21" i="7"/>
  <c r="E34" i="7" s="1"/>
  <c r="G14" i="7"/>
  <c r="AP590" i="20"/>
  <c r="AQ590" i="20" s="1"/>
  <c r="AS575" i="20" s="1"/>
  <c r="AM742" i="3"/>
  <c r="BN635" i="3"/>
  <c r="AH29" i="25"/>
  <c r="I30" i="8"/>
  <c r="Z807" i="3" s="1"/>
  <c r="E6" i="7" s="1"/>
  <c r="AB217" i="20"/>
  <c r="AB233" i="20" s="1"/>
  <c r="AB235" i="20" s="1"/>
  <c r="AB237" i="20" s="1"/>
  <c r="AB243" i="20" s="1"/>
  <c r="AD192" i="20" s="1"/>
  <c r="AD194" i="20" s="1"/>
  <c r="I28" i="7"/>
  <c r="T753" i="3"/>
  <c r="AK72" i="20" l="1"/>
  <c r="T784" i="20"/>
  <c r="AF784" i="20" s="1"/>
  <c r="D105" i="4"/>
  <c r="B97" i="4"/>
  <c r="J29" i="25"/>
  <c r="AT19" i="25" s="1"/>
  <c r="R63" i="4"/>
  <c r="R97" i="4" s="1"/>
  <c r="R105" i="4" s="1"/>
  <c r="BH717" i="3"/>
  <c r="BI717" i="3" s="1"/>
  <c r="BH709" i="3"/>
  <c r="BI709" i="3" s="1"/>
  <c r="BH704" i="3"/>
  <c r="BI704" i="3" s="1"/>
  <c r="BH713" i="3"/>
  <c r="BI713" i="3" s="1"/>
  <c r="BH721" i="3"/>
  <c r="BI721" i="3" s="1"/>
  <c r="BH711" i="3"/>
  <c r="BI711" i="3" s="1"/>
  <c r="BH719" i="3"/>
  <c r="BI719" i="3" s="1"/>
  <c r="BH725" i="3"/>
  <c r="BI725" i="3" s="1"/>
  <c r="BH727" i="3"/>
  <c r="BI727" i="3" s="1"/>
  <c r="BH703" i="3"/>
  <c r="BH712" i="3"/>
  <c r="BI712" i="3" s="1"/>
  <c r="BH708" i="3"/>
  <c r="BI708" i="3" s="1"/>
  <c r="BH706" i="3"/>
  <c r="BI706" i="3" s="1"/>
  <c r="BH705" i="3"/>
  <c r="BI705" i="3" s="1"/>
  <c r="BH710" i="3"/>
  <c r="BI710" i="3" s="1"/>
  <c r="BH714" i="3"/>
  <c r="BI714" i="3" s="1"/>
  <c r="BH695" i="3"/>
  <c r="BI695" i="3" s="1"/>
  <c r="BH672" i="3"/>
  <c r="BI672" i="3" s="1"/>
  <c r="BH679" i="3"/>
  <c r="BI679" i="3" s="1"/>
  <c r="BH676" i="3"/>
  <c r="BI676" i="3" s="1"/>
  <c r="BH681" i="3"/>
  <c r="BI681" i="3" s="1"/>
  <c r="BH680" i="3"/>
  <c r="BI680" i="3" s="1"/>
  <c r="BH693" i="3"/>
  <c r="BI693" i="3" s="1"/>
  <c r="BH671" i="3"/>
  <c r="BH689" i="3"/>
  <c r="BI689" i="3" s="1"/>
  <c r="BH673" i="3"/>
  <c r="BI673" i="3" s="1"/>
  <c r="BH674" i="3"/>
  <c r="BI674" i="3" s="1"/>
  <c r="BH685" i="3"/>
  <c r="BI685" i="3" s="1"/>
  <c r="BH692" i="3"/>
  <c r="BI692" i="3" s="1"/>
  <c r="BH688" i="3"/>
  <c r="BI688" i="3" s="1"/>
  <c r="BH677" i="3"/>
  <c r="BI677" i="3" s="1"/>
  <c r="BH683" i="3"/>
  <c r="BI683" i="3" s="1"/>
  <c r="BH687" i="3"/>
  <c r="BI687" i="3" s="1"/>
  <c r="BH684" i="3"/>
  <c r="BI684" i="3" s="1"/>
  <c r="BH691" i="3"/>
  <c r="BI691" i="3" s="1"/>
  <c r="S42" i="4"/>
  <c r="E41" i="13"/>
  <c r="BH678" i="3"/>
  <c r="BI678" i="3" s="1"/>
  <c r="E7" i="7"/>
  <c r="G6" i="7"/>
  <c r="N158" i="25"/>
  <c r="N164" i="25" s="1"/>
  <c r="B12" i="4"/>
  <c r="B63" i="4"/>
  <c r="BR637" i="3"/>
  <c r="DX642" i="3"/>
  <c r="E11" i="21"/>
  <c r="DX641" i="3"/>
  <c r="DX657" i="3"/>
  <c r="DX660" i="3"/>
  <c r="DX646" i="3"/>
  <c r="DX661" i="3"/>
  <c r="DX650" i="3"/>
  <c r="DX640" i="3"/>
  <c r="DX639" i="3"/>
  <c r="DX659" i="3"/>
  <c r="CM636" i="3"/>
  <c r="BN663" i="3"/>
  <c r="AB969" i="3" s="1"/>
  <c r="DX649" i="3"/>
  <c r="DX648" i="3"/>
  <c r="DX643" i="3"/>
  <c r="DX645" i="3"/>
  <c r="DX655" i="3"/>
  <c r="DX658" i="3"/>
  <c r="DX654" i="3"/>
  <c r="DX651" i="3"/>
  <c r="DX662" i="3"/>
  <c r="DX638" i="3"/>
  <c r="DX656" i="3"/>
  <c r="DX653" i="3"/>
  <c r="DX647" i="3"/>
  <c r="BW637" i="3"/>
  <c r="EC649" i="3"/>
  <c r="EC644" i="3"/>
  <c r="BS663" i="3"/>
  <c r="AB970" i="3" s="1"/>
  <c r="AJ970" i="3" s="1"/>
  <c r="EC643" i="3"/>
  <c r="EC647" i="3"/>
  <c r="EC641" i="3"/>
  <c r="EC657" i="3"/>
  <c r="EC648" i="3"/>
  <c r="EC659" i="3"/>
  <c r="EC653" i="3"/>
  <c r="E12" i="21"/>
  <c r="I12" i="21" s="1"/>
  <c r="EC651" i="3"/>
  <c r="EC638" i="3"/>
  <c r="EC639" i="3"/>
  <c r="EC658" i="3"/>
  <c r="EC646" i="3"/>
  <c r="EC640" i="3"/>
  <c r="EC645" i="3"/>
  <c r="EC652" i="3"/>
  <c r="EC662" i="3"/>
  <c r="EC660" i="3"/>
  <c r="EC655" i="3"/>
  <c r="EC661" i="3"/>
  <c r="EC654" i="3"/>
  <c r="E45" i="13"/>
  <c r="S54" i="4"/>
  <c r="E54" i="13" s="1"/>
  <c r="DX644" i="3"/>
  <c r="BH690" i="3"/>
  <c r="BI690" i="3" s="1"/>
  <c r="BH675" i="3"/>
  <c r="BI675" i="3" s="1"/>
  <c r="BH724" i="3"/>
  <c r="BI724" i="3" s="1"/>
  <c r="CB637" i="3"/>
  <c r="E13" i="21"/>
  <c r="I13" i="21" s="1"/>
  <c r="EH654" i="3"/>
  <c r="EH661" i="3"/>
  <c r="EH641" i="3"/>
  <c r="EH644" i="3"/>
  <c r="EH651" i="3"/>
  <c r="EH650" i="3"/>
  <c r="EH646" i="3"/>
  <c r="EH657" i="3"/>
  <c r="EH656" i="3"/>
  <c r="EH642" i="3"/>
  <c r="EH653" i="3"/>
  <c r="EH647" i="3"/>
  <c r="EH659" i="3"/>
  <c r="EH662" i="3"/>
  <c r="BX663" i="3"/>
  <c r="AB971" i="3" s="1"/>
  <c r="AJ971" i="3" s="1"/>
  <c r="EH655" i="3"/>
  <c r="EH648" i="3"/>
  <c r="EH639" i="3"/>
  <c r="EH658" i="3"/>
  <c r="EH649" i="3"/>
  <c r="EH638" i="3"/>
  <c r="EH645" i="3"/>
  <c r="EH652" i="3"/>
  <c r="EH643" i="3"/>
  <c r="EH660" i="3"/>
  <c r="CL637" i="3"/>
  <c r="ER652" i="3"/>
  <c r="ER651" i="3"/>
  <c r="ER638" i="3"/>
  <c r="ER640" i="3"/>
  <c r="ER656" i="3"/>
  <c r="ER647" i="3"/>
  <c r="CH663" i="3"/>
  <c r="AB973" i="3" s="1"/>
  <c r="AJ973" i="3" s="1"/>
  <c r="ER654" i="3"/>
  <c r="ER649" i="3"/>
  <c r="ER643" i="3"/>
  <c r="ER655" i="3"/>
  <c r="ER658" i="3"/>
  <c r="ER639" i="3"/>
  <c r="ER662" i="3"/>
  <c r="ER661" i="3"/>
  <c r="ER657" i="3"/>
  <c r="E15" i="21"/>
  <c r="ER641" i="3"/>
  <c r="ER659" i="3"/>
  <c r="ER653" i="3"/>
  <c r="ER642" i="3"/>
  <c r="ER644" i="3"/>
  <c r="ER648" i="3"/>
  <c r="ER646" i="3"/>
  <c r="ER645" i="3"/>
  <c r="ER660" i="3"/>
  <c r="DX652" i="3"/>
  <c r="CS660" i="3"/>
  <c r="BH686" i="3"/>
  <c r="BI686" i="3" s="1"/>
  <c r="AT22" i="25"/>
  <c r="AW106" i="20"/>
  <c r="AW104" i="20"/>
  <c r="AW105" i="20"/>
  <c r="Y799" i="3"/>
  <c r="C30" i="8"/>
  <c r="Y798" i="3"/>
  <c r="BH722" i="3"/>
  <c r="BI722" i="3" s="1"/>
  <c r="Q52" i="7"/>
  <c r="EW654" i="3"/>
  <c r="EW648" i="3"/>
  <c r="EW639" i="3"/>
  <c r="EW646" i="3"/>
  <c r="EW650" i="3"/>
  <c r="CQ637" i="3"/>
  <c r="EW647" i="3"/>
  <c r="EW655" i="3"/>
  <c r="EW653" i="3"/>
  <c r="EW643" i="3"/>
  <c r="EW649" i="3"/>
  <c r="EW640" i="3"/>
  <c r="EW642" i="3"/>
  <c r="EW661" i="3"/>
  <c r="EW656" i="3"/>
  <c r="EW659" i="3"/>
  <c r="EW657" i="3"/>
  <c r="EW638" i="3"/>
  <c r="EW644" i="3"/>
  <c r="EW645" i="3"/>
  <c r="EW641" i="3"/>
  <c r="EW662" i="3"/>
  <c r="EW652" i="3"/>
  <c r="EW651" i="3"/>
  <c r="AT27" i="25"/>
  <c r="BH723" i="3"/>
  <c r="BI723" i="3" s="1"/>
  <c r="DR660" i="3"/>
  <c r="AW107" i="20"/>
  <c r="CS661" i="3"/>
  <c r="BH694" i="3"/>
  <c r="BI694" i="3" s="1"/>
  <c r="M53" i="7"/>
  <c r="K57" i="7"/>
  <c r="AW108" i="20"/>
  <c r="CG637" i="3"/>
  <c r="CC663" i="3"/>
  <c r="AB972" i="3" s="1"/>
  <c r="AJ972" i="3" s="1"/>
  <c r="EM644" i="3"/>
  <c r="EM643" i="3"/>
  <c r="EM647" i="3"/>
  <c r="EM651" i="3"/>
  <c r="EM642" i="3"/>
  <c r="EM658" i="3"/>
  <c r="EM641" i="3"/>
  <c r="EM639" i="3"/>
  <c r="EM654" i="3"/>
  <c r="E14" i="21"/>
  <c r="EM653" i="3"/>
  <c r="EM649" i="3"/>
  <c r="EM656" i="3"/>
  <c r="EM660" i="3"/>
  <c r="EM659" i="3"/>
  <c r="EM638" i="3"/>
  <c r="EM650" i="3"/>
  <c r="EM662" i="3"/>
  <c r="EM648" i="3"/>
  <c r="EM652" i="3"/>
  <c r="EM645" i="3"/>
  <c r="EM640" i="3"/>
  <c r="EM646" i="3"/>
  <c r="EM661" i="3"/>
  <c r="BH718" i="3"/>
  <c r="BI718" i="3" s="1"/>
  <c r="AG1028" i="3"/>
  <c r="BA990" i="3"/>
  <c r="EW658" i="3"/>
  <c r="AD28" i="15"/>
  <c r="I14" i="7"/>
  <c r="G21" i="7"/>
  <c r="G34" i="7" s="1"/>
  <c r="AT26" i="25"/>
  <c r="AT20" i="25"/>
  <c r="BH707" i="3"/>
  <c r="BI707" i="3" s="1"/>
  <c r="BH716" i="3"/>
  <c r="BI716" i="3" s="1"/>
  <c r="C98" i="11"/>
  <c r="D64" i="11"/>
  <c r="BH726" i="3"/>
  <c r="BI726" i="3" s="1"/>
  <c r="O9" i="7"/>
  <c r="Q8" i="7"/>
  <c r="EC642" i="3"/>
  <c r="BH682" i="3"/>
  <c r="BI682" i="3" s="1"/>
  <c r="E16" i="21" l="1"/>
  <c r="I11" i="21"/>
  <c r="I14" i="21"/>
  <c r="AU37" i="25"/>
  <c r="AU41" i="25"/>
  <c r="AU38" i="25"/>
  <c r="AU39" i="25"/>
  <c r="AU47" i="25"/>
  <c r="AU45" i="25"/>
  <c r="AT25" i="25"/>
  <c r="AT29" i="25"/>
  <c r="AT23" i="25"/>
  <c r="AU42" i="25"/>
  <c r="AT28" i="25"/>
  <c r="AU46" i="25"/>
  <c r="AU44" i="25"/>
  <c r="AT21" i="25"/>
  <c r="AU40" i="25"/>
  <c r="AU43" i="25"/>
  <c r="AT24" i="25"/>
  <c r="AU36" i="25"/>
  <c r="O53" i="7"/>
  <c r="M57" i="7"/>
  <c r="ER663" i="3"/>
  <c r="Y118" i="20" s="1"/>
  <c r="Y121" i="20" s="1"/>
  <c r="Y124" i="20" s="1"/>
  <c r="EH663" i="3"/>
  <c r="O118" i="20" s="1"/>
  <c r="O121" i="20" s="1"/>
  <c r="O124" i="20" s="1"/>
  <c r="EC663" i="3"/>
  <c r="J118" i="20" s="1"/>
  <c r="J121" i="20" s="1"/>
  <c r="J124" i="20" s="1"/>
  <c r="CS637" i="3"/>
  <c r="EM663" i="3"/>
  <c r="T118" i="20" s="1"/>
  <c r="T121" i="20" s="1"/>
  <c r="T124" i="20" s="1"/>
  <c r="E4" i="7"/>
  <c r="Z816" i="3"/>
  <c r="DX663" i="3"/>
  <c r="E118" i="20" s="1"/>
  <c r="E121" i="20" s="1"/>
  <c r="E124" i="20" s="1"/>
  <c r="E42" i="13"/>
  <c r="S63" i="4"/>
  <c r="AB249" i="20"/>
  <c r="AG251" i="20" s="1"/>
  <c r="B105" i="4"/>
  <c r="BH696" i="3"/>
  <c r="BI671" i="3"/>
  <c r="BI696" i="3" s="1"/>
  <c r="AH753" i="3" s="1"/>
  <c r="S8" i="7"/>
  <c r="Q9" i="7"/>
  <c r="I21" i="7"/>
  <c r="I34" i="7" s="1"/>
  <c r="K14" i="7"/>
  <c r="EW663" i="3"/>
  <c r="AD118" i="20" s="1"/>
  <c r="AD121" i="20" s="1"/>
  <c r="AD124" i="20" s="1"/>
  <c r="I15" i="21"/>
  <c r="AW110" i="20"/>
  <c r="AB974" i="3"/>
  <c r="AJ969" i="3"/>
  <c r="AJ975" i="3" s="1"/>
  <c r="BH728" i="3"/>
  <c r="BI703" i="3"/>
  <c r="BI728" i="3" s="1"/>
  <c r="AM753" i="3" s="1"/>
  <c r="AK174" i="20"/>
  <c r="T791" i="20" s="1"/>
  <c r="AF791" i="20" s="1"/>
  <c r="T785" i="20"/>
  <c r="AF785" i="20" s="1"/>
  <c r="AG253" i="20"/>
  <c r="AK256" i="20" s="1"/>
  <c r="T792" i="20" s="1"/>
  <c r="AF792" i="20" s="1"/>
  <c r="I6" i="7"/>
  <c r="G7" i="7"/>
  <c r="C106" i="11"/>
  <c r="D106" i="11" s="1"/>
  <c r="D98" i="11"/>
  <c r="S52" i="7"/>
  <c r="E126" i="20" l="1"/>
  <c r="E127" i="20" s="1"/>
  <c r="AK131" i="20" s="1"/>
  <c r="T787" i="20" s="1"/>
  <c r="AF787" i="20" s="1"/>
  <c r="AP765" i="20"/>
  <c r="B1039" i="3"/>
  <c r="AJ1020" i="3"/>
  <c r="AJ1032" i="3" s="1"/>
  <c r="AJ1024" i="3"/>
  <c r="AP767" i="20" s="1"/>
  <c r="U8" i="7"/>
  <c r="S9" i="7"/>
  <c r="Q53" i="7"/>
  <c r="O57" i="7"/>
  <c r="K6" i="7"/>
  <c r="I7" i="7"/>
  <c r="E81" i="20"/>
  <c r="E82" i="20" s="1"/>
  <c r="E83" i="20" s="1"/>
  <c r="E91" i="20"/>
  <c r="E94" i="20" s="1"/>
  <c r="AP94" i="20" s="1"/>
  <c r="AK97" i="20" s="1"/>
  <c r="T786" i="20" s="1"/>
  <c r="AF786" i="20" s="1"/>
  <c r="E5" i="7"/>
  <c r="E10" i="7" s="1"/>
  <c r="E36" i="7" s="1"/>
  <c r="G4" i="7"/>
  <c r="N154" i="25"/>
  <c r="AB47" i="15"/>
  <c r="AB49" i="15" s="1"/>
  <c r="AC453" i="3"/>
  <c r="O756" i="3"/>
  <c r="CS663" i="3"/>
  <c r="U588" i="20" s="1"/>
  <c r="P420" i="3"/>
  <c r="I16" i="21"/>
  <c r="U52" i="7"/>
  <c r="K21" i="7"/>
  <c r="K34" i="7" s="1"/>
  <c r="M14" i="7"/>
  <c r="S97" i="4"/>
  <c r="E63" i="13"/>
  <c r="AJ1028" i="3"/>
  <c r="AP768" i="20" s="1"/>
  <c r="AP772" i="20" l="1"/>
  <c r="AP771" i="20" s="1"/>
  <c r="T24" i="15"/>
  <c r="G5" i="7"/>
  <c r="G10" i="7" s="1"/>
  <c r="G36" i="7" s="1"/>
  <c r="I4" i="7"/>
  <c r="U9" i="7"/>
  <c r="W8" i="7"/>
  <c r="AP769" i="20"/>
  <c r="E97" i="13"/>
  <c r="S105" i="4"/>
  <c r="O14" i="7"/>
  <c r="M21" i="7"/>
  <c r="M34" i="7" s="1"/>
  <c r="AB54" i="15"/>
  <c r="AB55" i="15" s="1"/>
  <c r="K7" i="7"/>
  <c r="M6" i="7"/>
  <c r="W52" i="7"/>
  <c r="N155" i="25"/>
  <c r="N165" i="25"/>
  <c r="E44" i="7"/>
  <c r="E48" i="7"/>
  <c r="S53" i="7"/>
  <c r="Q57" i="7"/>
  <c r="G44" i="7" l="1"/>
  <c r="G48" i="7"/>
  <c r="I5" i="7"/>
  <c r="I10" i="7" s="1"/>
  <c r="I36" i="7" s="1"/>
  <c r="K4" i="7"/>
  <c r="E59" i="7"/>
  <c r="E46" i="7"/>
  <c r="E47" i="7"/>
  <c r="Y52" i="7"/>
  <c r="Q14" i="7"/>
  <c r="O21" i="7"/>
  <c r="O34" i="7" s="1"/>
  <c r="W9" i="7"/>
  <c r="Y8" i="7"/>
  <c r="M7" i="7"/>
  <c r="O6" i="7"/>
  <c r="E105" i="13"/>
  <c r="S107" i="4"/>
  <c r="U53" i="7"/>
  <c r="S57" i="7"/>
  <c r="AP774" i="20"/>
  <c r="AF767" i="20" s="1"/>
  <c r="E65" i="7" l="1"/>
  <c r="E69" i="7" s="1"/>
  <c r="E61" i="7"/>
  <c r="E71" i="7" s="1"/>
  <c r="I44" i="7"/>
  <c r="I48" i="7"/>
  <c r="O7" i="7"/>
  <c r="Q6" i="7"/>
  <c r="AA8" i="7"/>
  <c r="Y9" i="7"/>
  <c r="W53" i="7"/>
  <c r="U57" i="7"/>
  <c r="S14" i="7"/>
  <c r="Q21" i="7"/>
  <c r="Q34" i="7" s="1"/>
  <c r="K5" i="7"/>
  <c r="M4" i="7"/>
  <c r="K10" i="7"/>
  <c r="K36" i="7" s="1"/>
  <c r="AF766" i="20"/>
  <c r="AF768" i="20" s="1"/>
  <c r="AK774" i="20" s="1"/>
  <c r="T799" i="20" s="1"/>
  <c r="AF799" i="20" s="1"/>
  <c r="AF801" i="20" s="1"/>
  <c r="E107" i="13"/>
  <c r="AC455" i="3"/>
  <c r="AA52" i="7"/>
  <c r="G59" i="7"/>
  <c r="G47" i="7"/>
  <c r="G46" i="7"/>
  <c r="G61" i="7" l="1"/>
  <c r="G65" i="7"/>
  <c r="G69" i="7" s="1"/>
  <c r="G71" i="7" s="1"/>
  <c r="AA9" i="7"/>
  <c r="AC8" i="7"/>
  <c r="S6" i="7"/>
  <c r="Q7" i="7"/>
  <c r="Y53" i="7"/>
  <c r="W57" i="7"/>
  <c r="K44" i="7"/>
  <c r="K48" i="7"/>
  <c r="O4" i="7"/>
  <c r="M5" i="7"/>
  <c r="M10" i="7" s="1"/>
  <c r="M36" i="7" s="1"/>
  <c r="AC52" i="7"/>
  <c r="Y11" i="15"/>
  <c r="Y23" i="15" s="1"/>
  <c r="Y26" i="15" s="1"/>
  <c r="Y28" i="15" s="1"/>
  <c r="T11" i="15"/>
  <c r="T23" i="15" s="1"/>
  <c r="S21" i="7"/>
  <c r="S34" i="7" s="1"/>
  <c r="U14" i="7"/>
  <c r="I59" i="7"/>
  <c r="I47" i="7"/>
  <c r="I46" i="7"/>
  <c r="I65" i="7" l="1"/>
  <c r="I69" i="7" s="1"/>
  <c r="I61" i="7"/>
  <c r="M44" i="7"/>
  <c r="M48" i="7"/>
  <c r="AA53" i="7"/>
  <c r="Y57" i="7"/>
  <c r="U21" i="7"/>
  <c r="U34" i="7" s="1"/>
  <c r="W14" i="7"/>
  <c r="U6" i="7"/>
  <c r="S7" i="7"/>
  <c r="Q4" i="7"/>
  <c r="O5" i="7"/>
  <c r="O10" i="7" s="1"/>
  <c r="O36" i="7" s="1"/>
  <c r="AC9" i="7"/>
  <c r="AE8" i="7"/>
  <c r="AE52" i="7"/>
  <c r="T26" i="15"/>
  <c r="T28" i="15" s="1"/>
  <c r="T29" i="15" s="1"/>
  <c r="Y64" i="15"/>
  <c r="Y68" i="15" s="1"/>
  <c r="Y38" i="15"/>
  <c r="Y40" i="15" s="1"/>
  <c r="Y41" i="15" s="1"/>
  <c r="AB56" i="15" s="1"/>
  <c r="AD38" i="15"/>
  <c r="AD40" i="15" s="1"/>
  <c r="K59" i="7"/>
  <c r="K47" i="7"/>
  <c r="K46" i="7"/>
  <c r="I71" i="7" l="1"/>
  <c r="K61" i="7"/>
  <c r="K65" i="7"/>
  <c r="K69" i="7" s="1"/>
  <c r="K71" i="7" s="1"/>
  <c r="O44" i="7"/>
  <c r="O48" i="7"/>
  <c r="AC53" i="7"/>
  <c r="AA57" i="7"/>
  <c r="AG52" i="7"/>
  <c r="AB57" i="15"/>
  <c r="M26" i="3"/>
  <c r="P203" i="3" s="1"/>
  <c r="Q5" i="7"/>
  <c r="Q10" i="7" s="1"/>
  <c r="Q36" i="7" s="1"/>
  <c r="S4" i="7"/>
  <c r="Y14" i="7"/>
  <c r="W21" i="7"/>
  <c r="W34" i="7" s="1"/>
  <c r="AE9" i="7"/>
  <c r="AG8" i="7"/>
  <c r="AG9" i="7" s="1"/>
  <c r="U7" i="7"/>
  <c r="W6" i="7"/>
  <c r="M59" i="7"/>
  <c r="M47" i="7"/>
  <c r="M46" i="7"/>
  <c r="M61" i="7" l="1"/>
  <c r="M71" i="7" s="1"/>
  <c r="M65" i="7"/>
  <c r="M69" i="7" s="1"/>
  <c r="AB59" i="15"/>
  <c r="AB76" i="15" s="1"/>
  <c r="AB77" i="15" s="1"/>
  <c r="Y21" i="7"/>
  <c r="Y34" i="7" s="1"/>
  <c r="AA14" i="7"/>
  <c r="AE53" i="7"/>
  <c r="AC57" i="7"/>
  <c r="Y6" i="7"/>
  <c r="W7" i="7"/>
  <c r="U4" i="7"/>
  <c r="S5" i="7"/>
  <c r="S10" i="7" s="1"/>
  <c r="S36" i="7" s="1"/>
  <c r="Q44" i="7"/>
  <c r="Q48" i="7"/>
  <c r="O59" i="7"/>
  <c r="O46" i="7"/>
  <c r="O47" i="7"/>
  <c r="O61" i="7" l="1"/>
  <c r="O65" i="7"/>
  <c r="O69" i="7" s="1"/>
  <c r="S44" i="7"/>
  <c r="S48" i="7"/>
  <c r="Q59" i="7"/>
  <c r="Q46" i="7"/>
  <c r="Q47" i="7"/>
  <c r="AG53" i="7"/>
  <c r="AG57" i="7" s="1"/>
  <c r="AE57" i="7"/>
  <c r="AA21" i="7"/>
  <c r="AA34" i="7" s="1"/>
  <c r="AC14" i="7"/>
  <c r="AA6" i="7"/>
  <c r="Y7" i="7"/>
  <c r="W4" i="7"/>
  <c r="U5" i="7"/>
  <c r="U10" i="7" s="1"/>
  <c r="U36" i="7" s="1"/>
  <c r="E3" i="21"/>
  <c r="E7" i="21" s="1"/>
  <c r="E18" i="21" s="1"/>
  <c r="AB78" i="15"/>
  <c r="AB80" i="15" s="1"/>
  <c r="J81" i="15" s="1"/>
  <c r="M27" i="3"/>
  <c r="P204" i="3" s="1"/>
  <c r="O71" i="7" l="1"/>
  <c r="Q65" i="7"/>
  <c r="Q69" i="7" s="1"/>
  <c r="Q61" i="7"/>
  <c r="U44" i="7"/>
  <c r="U48" i="7"/>
  <c r="AA7" i="7"/>
  <c r="AC6" i="7"/>
  <c r="W5" i="7"/>
  <c r="W10" i="7" s="1"/>
  <c r="W36" i="7" s="1"/>
  <c r="Y4" i="7"/>
  <c r="AE14" i="7"/>
  <c r="AC21" i="7"/>
  <c r="AC34" i="7" s="1"/>
  <c r="S47" i="7"/>
  <c r="S46" i="7"/>
  <c r="S59" i="7"/>
  <c r="Q71" i="7" l="1"/>
  <c r="S65" i="7"/>
  <c r="S61" i="7"/>
  <c r="S69" i="7"/>
  <c r="S71" i="7"/>
  <c r="AC7" i="7"/>
  <c r="AE6" i="7"/>
  <c r="W44" i="7"/>
  <c r="W48" i="7"/>
  <c r="AE21" i="7"/>
  <c r="AE34" i="7" s="1"/>
  <c r="AG14" i="7"/>
  <c r="AG21" i="7" s="1"/>
  <c r="AG34" i="7" s="1"/>
  <c r="Y5" i="7"/>
  <c r="Y10" i="7" s="1"/>
  <c r="Y36" i="7" s="1"/>
  <c r="AA4" i="7"/>
  <c r="U59" i="7"/>
  <c r="U47" i="7"/>
  <c r="U46" i="7"/>
  <c r="U61" i="7" l="1"/>
  <c r="U65" i="7"/>
  <c r="Y44" i="7"/>
  <c r="Y48" i="7"/>
  <c r="W59" i="7"/>
  <c r="W46" i="7"/>
  <c r="W47" i="7"/>
  <c r="AE7" i="7"/>
  <c r="AG6" i="7"/>
  <c r="AG7" i="7" s="1"/>
  <c r="U69" i="7"/>
  <c r="AA5" i="7"/>
  <c r="AC4" i="7"/>
  <c r="AA10" i="7"/>
  <c r="AA36" i="7" s="1"/>
  <c r="U71" i="7" l="1"/>
  <c r="W65" i="7"/>
  <c r="W69" i="7" s="1"/>
  <c r="W61" i="7"/>
  <c r="AE4" i="7"/>
  <c r="AC5" i="7"/>
  <c r="AC10" i="7" s="1"/>
  <c r="AC36" i="7" s="1"/>
  <c r="AA44" i="7"/>
  <c r="AA48" i="7"/>
  <c r="Y59" i="7"/>
  <c r="Y47" i="7"/>
  <c r="Y46" i="7"/>
  <c r="W71" i="7" l="1"/>
  <c r="Y61" i="7"/>
  <c r="Y65" i="7"/>
  <c r="Y69" i="7" s="1"/>
  <c r="Y71" i="7" s="1"/>
  <c r="AC44" i="7"/>
  <c r="AC48" i="7"/>
  <c r="AA59" i="7"/>
  <c r="AA47" i="7"/>
  <c r="AA46" i="7"/>
  <c r="AE5" i="7"/>
  <c r="AE10" i="7" s="1"/>
  <c r="AE36" i="7" s="1"/>
  <c r="AG4" i="7"/>
  <c r="AA61" i="7" l="1"/>
  <c r="AA65" i="7"/>
  <c r="AG5" i="7"/>
  <c r="AG10" i="7" s="1"/>
  <c r="AG36" i="7" s="1"/>
  <c r="AA69" i="7"/>
  <c r="AA71" i="7"/>
  <c r="AE44" i="7"/>
  <c r="AE48" i="7"/>
  <c r="AC59" i="7"/>
  <c r="AC46" i="7"/>
  <c r="AC47" i="7"/>
  <c r="AC61" i="7" l="1"/>
  <c r="AC65" i="7"/>
  <c r="AC69" i="7"/>
  <c r="AC71" i="7" s="1"/>
  <c r="AG48" i="7"/>
  <c r="AG44" i="7"/>
  <c r="AE59" i="7"/>
  <c r="AE46" i="7"/>
  <c r="AE47" i="7"/>
  <c r="AE65" i="7" l="1"/>
  <c r="AE69" i="7" s="1"/>
  <c r="AE61" i="7"/>
  <c r="AG59" i="7"/>
  <c r="AG47" i="7"/>
  <c r="AG46" i="7"/>
  <c r="AE71" i="7" l="1"/>
  <c r="AG65" i="7"/>
  <c r="AG61" i="7"/>
  <c r="AG69" i="7"/>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<sst xmlns="http://schemas.openxmlformats.org/spreadsheetml/2006/main" count="5091" uniqueCount="2678">
  <si>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</si>
  <si>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</si>
  <si>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</si>
  <si>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</si>
  <si>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</si>
  <si>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</si>
  <si>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</si>
  <si>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</si>
  <si>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</si>
  <si>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</si>
  <si>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</si>
  <si>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</si>
  <si>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</si>
  <si>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</si>
  <si>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</si>
  <si>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</si>
  <si>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</si>
  <si>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</si>
  <si>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</si>
  <si>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</si>
  <si>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</si>
  <si>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</si>
  <si>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</si>
  <si>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</si>
  <si>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</si>
  <si>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</si>
  <si>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</si>
  <si>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</si>
  <si>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</si>
  <si>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</si>
  <si>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</si>
  <si>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</si>
  <si>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</si>
  <si>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</si>
  <si>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</si>
  <si>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</si>
  <si>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</si>
  <si>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</si>
  <si>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</si>
  <si>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</si>
  <si>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</si>
  <si>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</si>
  <si>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</si>
  <si>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</si>
  <si>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</si>
  <si>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</si>
  <si>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</si>
  <si>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</si>
  <si>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</si>
  <si>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</si>
  <si>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</si>
  <si>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</si>
  <si>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</si>
  <si>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</si>
  <si>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</si>
  <si>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</si>
  <si>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</si>
  <si>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</si>
  <si>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</si>
  <si>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</si>
  <si>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</si>
  <si>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</si>
  <si>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</si>
  <si>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</si>
  <si>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</si>
  <si>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</si>
  <si>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</si>
  <si>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</si>
  <si>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</si>
  <si>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</si>
  <si>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</si>
  <si>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</si>
  <si>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</si>
  <si>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</si>
  <si>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</si>
  <si>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</si>
  <si>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</si>
  <si>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</si>
  <si>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</si>
  <si>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</si>
  <si>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</si>
  <si>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</si>
  <si>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</si>
  <si>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</si>
  <si>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</si>
  <si>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</si>
  <si>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</si>
  <si>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</si>
  <si>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</si>
  <si>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</si>
  <si>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</si>
  <si>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</si>
  <si>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</si>
  <si>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</si>
  <si>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</si>
  <si>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</si>
  <si>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</si>
  <si>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</si>
  <si>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</si>
  <si>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</si>
  <si>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</si>
  <si>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</si>
  <si>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</si>
  <si>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</si>
  <si>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</si>
  <si>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</si>
  <si>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</si>
  <si>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</si>
  <si>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</si>
  <si>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</si>
  <si>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</si>
  <si>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</si>
  <si>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</si>
  <si>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</si>
  <si>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</si>
  <si>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</si>
  <si>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</si>
  <si>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</si>
  <si>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</si>
  <si>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</si>
  <si>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</si>
  <si>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</si>
  <si>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</si>
  <si>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</si>
  <si>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</si>
  <si>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</si>
  <si>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</si>
  <si>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</si>
  <si>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</si>
  <si>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</si>
  <si>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</si>
  <si>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</si>
  <si>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</si>
  <si>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</si>
  <si>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</si>
  <si>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</si>
  <si>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</si>
  <si>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</si>
  <si>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</si>
  <si>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</si>
  <si>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</si>
  <si>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</si>
  <si>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</si>
  <si>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</si>
  <si>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</si>
  <si>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</si>
  <si>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</si>
  <si>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</si>
  <si>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</si>
  <si>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</si>
  <si>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</si>
  <si>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</si>
  <si>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</si>
  <si>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</si>
  <si>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</si>
  <si>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</si>
  <si>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</si>
  <si>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</si>
  <si>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</si>
  <si>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</si>
  <si>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</si>
  <si>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</si>
  <si>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</si>
  <si>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</si>
  <si>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</si>
  <si>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</si>
  <si>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</si>
  <si>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</si>
  <si>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</si>
  <si>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</si>
  <si>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</si>
  <si>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</si>
  <si>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</si>
  <si>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</si>
  <si>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</si>
  <si>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</si>
  <si>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</si>
  <si>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</si>
  <si>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</si>
  <si>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</si>
  <si>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</si>
  <si>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</si>
  <si>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</si>
  <si>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</si>
  <si>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</si>
  <si>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</si>
  <si>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</si>
  <si>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</si>
  <si>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</si>
  <si>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</si>
  <si>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</si>
  <si>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</si>
  <si>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</si>
  <si>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</si>
  <si>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</si>
  <si>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</si>
  <si>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</si>
  <si>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</si>
  <si>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</si>
  <si>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</si>
  <si>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</si>
  <si>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</si>
  <si>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</si>
  <si>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</si>
  <si>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</si>
  <si>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</si>
  <si>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</si>
  <si>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</si>
  <si>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</si>
  <si>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</si>
  <si>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</si>
  <si>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</si>
  <si>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</si>
  <si>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</si>
  <si>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</si>
  <si>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</si>
  <si>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</si>
  <si>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</si>
  <si>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</si>
  <si>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</si>
  <si>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</si>
  <si>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</si>
  <si>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</si>
  <si>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</si>
  <si>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</si>
  <si>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</si>
  <si>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</si>
  <si>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</si>
  <si>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</si>
  <si>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</si>
  <si>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</si>
  <si>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</si>
  <si>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</si>
  <si>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</si>
  <si>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</si>
  <si>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</si>
  <si>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</si>
  <si>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</si>
  <si>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</si>
  <si>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</si>
  <si>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</si>
  <si>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</si>
  <si>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</si>
  <si>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</si>
  <si>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</si>
  <si>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</si>
  <si>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</si>
  <si>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</si>
  <si>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</si>
  <si>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</si>
  <si>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</si>
  <si>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</si>
  <si>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</si>
  <si>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</si>
  <si>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</si>
  <si>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</si>
  <si>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</si>
  <si>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</si>
  <si>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</si>
  <si>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</si>
  <si>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</si>
  <si>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</si>
  <si>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</si>
  <si>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</si>
  <si>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</si>
  <si>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</si>
  <si>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</si>
  <si>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</si>
  <si>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</si>
  <si>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</si>
  <si>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</si>
  <si>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</si>
  <si>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</si>
  <si>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</si>
  <si>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</si>
  <si>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</si>
  <si>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</si>
  <si>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</si>
  <si>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</si>
  <si>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</si>
  <si>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</si>
  <si>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</si>
  <si>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</si>
  <si>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</si>
  <si>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</si>
  <si>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</si>
  <si>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</si>
  <si>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</si>
  <si>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</si>
  <si>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</si>
  <si>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</si>
  <si>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</si>
  <si>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</si>
  <si>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</si>
  <si>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</si>
  <si>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</si>
  <si>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</si>
  <si>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</si>
  <si>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</si>
  <si>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</si>
  <si>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</si>
  <si>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</si>
  <si>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</si>
  <si>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</si>
  <si>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</si>
  <si>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</si>
  <si>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</si>
  <si>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</si>
  <si>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</si>
  <si>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</si>
  <si>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</si>
  <si>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</si>
  <si>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</si>
  <si>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</si>
  <si>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</si>
  <si>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</si>
  <si>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</si>
  <si>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</si>
  <si>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</si>
  <si>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</si>
  <si>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</si>
  <si>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</si>
  <si>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</si>
  <si>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</si>
  <si>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</si>
  <si>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</si>
  <si>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</si>
  <si>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</si>
  <si>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</si>
  <si>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</si>
  <si>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</si>
  <si>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</si>
  <si>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</si>
  <si>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</si>
  <si>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</si>
  <si>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</si>
  <si>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</si>
  <si>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</si>
  <si>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</si>
  <si>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</si>
  <si>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</si>
  <si>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</si>
  <si>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</si>
  <si>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</si>
  <si>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</si>
  <si>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</si>
  <si>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</si>
  <si>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</si>
  <si>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</si>
  <si>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</si>
  <si>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</si>
  <si>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</si>
  <si>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</si>
  <si>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</si>
  <si>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</si>
  <si>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</si>
  <si>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</si>
  <si>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</si>
  <si>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</si>
  <si>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</si>
  <si>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</si>
  <si>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</si>
  <si>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</si>
  <si>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</si>
  <si>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</si>
  <si>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</si>
  <si>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</si>
  <si>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</si>
  <si>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</si>
  <si>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</si>
  <si>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</si>
  <si>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</si>
  <si>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</si>
  <si>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</si>
  <si>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</si>
  <si>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</si>
  <si>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</si>
  <si>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</si>
  <si>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</si>
  <si>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</si>
  <si>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</si>
  <si>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</si>
  <si>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</si>
  <si>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</si>
  <si>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</si>
  <si>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</si>
  <si>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</si>
  <si>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</si>
  <si>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</si>
  <si>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</si>
  <si>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</si>
  <si>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</si>
  <si>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</si>
  <si>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</si>
  <si>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</si>
  <si>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</si>
  <si>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</si>
  <si>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</si>
  <si>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</si>
  <si>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</si>
  <si>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</si>
  <si>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</si>
  <si>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</si>
  <si>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</si>
  <si>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</si>
  <si>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</si>
  <si>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</si>
  <si>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</si>
  <si>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</si>
  <si>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</si>
  <si>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</si>
  <si>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</si>
  <si>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</si>
  <si>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</si>
  <si>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</si>
  <si>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</si>
  <si>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</si>
  <si>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</si>
  <si>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</si>
  <si>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</si>
  <si>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</si>
  <si>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</si>
  <si>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</si>
  <si>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</si>
  <si>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</si>
  <si>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</si>
  <si>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</si>
  <si>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</si>
  <si>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</si>
  <si>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</si>
  <si>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</si>
  <si>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</si>
  <si>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</si>
  <si>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</si>
  <si>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</si>
  <si>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</si>
  <si>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</si>
  <si>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</si>
  <si>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</si>
  <si>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</si>
  <si>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</si>
  <si>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</si>
  <si>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</si>
  <si>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</si>
  <si>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</si>
  <si>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</si>
  <si>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</si>
  <si>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</si>
  <si>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</si>
  <si>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</si>
  <si>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</si>
  <si>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</si>
  <si>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</si>
  <si>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</si>
  <si>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</si>
  <si>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</si>
  <si>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</si>
  <si>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</si>
  <si>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</si>
  <si>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</si>
  <si>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</si>
  <si>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</si>
  <si>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</si>
  <si>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</si>
  <si>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</si>
  <si>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</si>
  <si>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</si>
  <si>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</si>
  <si>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</si>
  <si>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</si>
  <si>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</si>
  <si>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</si>
  <si>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</si>
  <si>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</si>
  <si>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</si>
  <si>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</si>
  <si>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</si>
  <si>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</si>
  <si>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</si>
  <si>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</si>
  <si>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</si>
  <si>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</si>
  <si>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</si>
  <si>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</si>
  <si>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</si>
  <si>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</si>
  <si>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</si>
  <si>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</si>
  <si>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</si>
  <si>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</si>
  <si>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</si>
  <si>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</si>
  <si>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</si>
  <si>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</si>
  <si>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</si>
  <si>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</si>
  <si>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</si>
  <si>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</si>
  <si>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</si>
  <si>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</si>
  <si>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</si>
  <si>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</si>
  <si>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</si>
  <si>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</si>
  <si>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</si>
  <si>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</si>
  <si>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</si>
  <si>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</si>
  <si>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</si>
  <si>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</si>
  <si>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</si>
  <si>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</si>
  <si>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</si>
  <si>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</si>
  <si>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</si>
  <si>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</si>
  <si>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</si>
  <si>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</si>
  <si>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</si>
  <si>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</si>
  <si>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</si>
  <si>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</si>
  <si>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</si>
  <si>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</si>
  <si>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</si>
  <si>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</si>
  <si>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</si>
  <si>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</si>
  <si>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</si>
  <si>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</si>
  <si>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</si>
  <si>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</si>
  <si>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</si>
  <si>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</si>
  <si>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</si>
  <si>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</si>
  <si>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</si>
  <si>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</si>
  <si>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</si>
  <si>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</si>
  <si>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</si>
  <si>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</si>
  <si>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</si>
  <si>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</si>
  <si>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</si>
  <si>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</si>
  <si>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</si>
  <si>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</si>
  <si>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</si>
  <si>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</si>
  <si>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</si>
  <si>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</si>
  <si>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</si>
  <si>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</si>
  <si>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</si>
  <si>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</si>
  <si>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</si>
  <si>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</si>
  <si>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</si>
  <si>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</si>
  <si>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</si>
  <si>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</si>
  <si>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</si>
  <si>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</si>
  <si>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</si>
  <si>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</si>
  <si>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</si>
  <si>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</si>
  <si>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</si>
  <si>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</si>
  <si>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</si>
  <si>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</si>
  <si>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</si>
  <si>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</si>
  <si>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</si>
  <si>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</si>
  <si>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</si>
  <si>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</si>
  <si>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</si>
  <si>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</si>
  <si>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</si>
  <si>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</si>
  <si>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</si>
  <si>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</si>
  <si>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</si>
  <si>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</si>
  <si>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</si>
  <si>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</si>
  <si>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</si>
  <si>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</si>
  <si>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</si>
  <si>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</si>
  <si>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</si>
  <si>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</si>
  <si>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</si>
  <si>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</si>
  <si>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</si>
  <si>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</si>
  <si>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</si>
  <si>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</si>
  <si>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</si>
  <si>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</si>
  <si>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</si>
  <si>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</si>
  <si>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</si>
  <si>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</si>
  <si>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</si>
  <si>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</si>
  <si>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</si>
  <si>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</si>
  <si>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</si>
  <si>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</si>
  <si>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</si>
  <si>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</si>
  <si>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</si>
  <si>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</si>
  <si>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</si>
  <si>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</si>
  <si>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</si>
  <si>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</si>
  <si>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</si>
  <si>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</si>
  <si>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</si>
  <si>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</si>
  <si>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</si>
  <si>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</si>
  <si>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</si>
  <si>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</si>
  <si>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</si>
  <si>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</si>
  <si>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</si>
  <si>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</si>
  <si>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</si>
  <si>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</si>
  <si>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</si>
  <si>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</si>
  <si>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</si>
  <si>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</si>
  <si>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</si>
  <si>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</si>
  <si>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</si>
  <si>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</si>
  <si>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</si>
  <si>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</si>
  <si>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</si>
  <si>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</si>
  <si>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</si>
  <si>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</si>
  <si>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</si>
  <si>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</si>
  <si>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</si>
  <si>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</si>
  <si>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</si>
  <si>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</si>
  <si>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</si>
  <si>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</si>
  <si>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</si>
  <si>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</si>
  <si>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</si>
  <si>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</si>
  <si>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</si>
  <si>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</si>
  <si>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</si>
  <si>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</si>
  <si>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</si>
  <si>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</si>
  <si>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</si>
  <si>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</si>
  <si>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</si>
  <si>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</si>
  <si>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</si>
  <si>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</si>
  <si>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</si>
  <si>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</si>
  <si>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</si>
  <si>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</si>
  <si>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</si>
  <si>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</si>
  <si>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</si>
  <si>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</si>
  <si>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</si>
  <si>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</si>
  <si>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</si>
  <si>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</si>
  <si>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</si>
  <si>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</si>
  <si>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</si>
  <si>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</si>
  <si>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</si>
  <si>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</si>
  <si>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</si>
  <si>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</si>
  <si>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</si>
  <si>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</si>
  <si>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</si>
  <si>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</si>
  <si>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</si>
  <si>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</si>
  <si>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</si>
  <si>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</si>
  <si>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</si>
  <si>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</si>
  <si>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</si>
  <si>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</si>
  <si>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</si>
  <si>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</si>
  <si>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</si>
  <si>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</si>
  <si>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</si>
  <si>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</si>
  <si>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</si>
  <si>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</si>
  <si>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</si>
  <si>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</si>
  <si>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</si>
  <si>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</si>
  <si>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</si>
  <si>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</si>
  <si>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</si>
  <si>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</si>
  <si>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</si>
  <si>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</si>
  <si>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</si>
  <si>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</si>
  <si>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</si>
  <si>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</si>
  <si>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</si>
  <si>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</si>
  <si>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</si>
  <si>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</si>
  <si>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</si>
  <si>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</si>
  <si>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</si>
  <si>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</si>
  <si>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</si>
  <si>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</si>
  <si>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</si>
  <si>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</si>
  <si>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</si>
  <si>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</si>
  <si>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</si>
  <si>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</si>
  <si>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</si>
  <si>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</si>
  <si>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</si>
  <si>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</si>
  <si>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</si>
  <si>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</si>
  <si>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</si>
  <si>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</si>
  <si>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</si>
  <si>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</si>
  <si>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</si>
  <si>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</si>
  <si>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</si>
  <si>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</si>
  <si>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</si>
  <si>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</si>
  <si>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</si>
  <si>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</si>
  <si>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</si>
  <si>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</si>
  <si>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</si>
  <si>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</si>
  <si>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</si>
  <si>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</si>
  <si>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</si>
  <si>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</si>
  <si>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</si>
  <si>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</si>
  <si>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</si>
  <si>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</si>
  <si>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</si>
  <si>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</si>
  <si>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</si>
  <si>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</si>
  <si>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</si>
  <si>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</si>
  <si>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</si>
  <si>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</si>
  <si>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</si>
  <si>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</si>
  <si>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</si>
  <si>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</si>
  <si>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</si>
  <si>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</si>
  <si>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</si>
  <si>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</si>
  <si>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</si>
  <si>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</si>
  <si>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</si>
  <si>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</si>
  <si>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</si>
  <si>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</si>
  <si>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</si>
  <si>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</si>
  <si>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</si>
  <si>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</si>
  <si>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</si>
  <si>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</si>
  <si>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</si>
  <si>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</si>
  <si>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</si>
  <si>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</si>
  <si>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</si>
  <si>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</si>
  <si>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</si>
  <si>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</si>
  <si>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</si>
  <si>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</si>
  <si>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</si>
  <si>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</si>
  <si>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</si>
  <si>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</si>
  <si>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</si>
  <si>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</si>
  <si>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</si>
  <si>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</si>
  <si>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</si>
  <si>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</si>
  <si>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</si>
  <si>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</si>
  <si>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</si>
  <si>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</si>
  <si>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</si>
  <si>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</si>
  <si>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</si>
  <si>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</si>
  <si>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</si>
  <si>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</si>
  <si>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</si>
  <si>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</si>
  <si>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</si>
  <si>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</si>
  <si>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</si>
  <si>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</si>
  <si>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</si>
  <si>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</si>
  <si>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</si>
  <si>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</si>
  <si>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</si>
  <si>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</si>
  <si>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</si>
  <si>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</si>
  <si>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</si>
  <si>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</si>
  <si>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</si>
  <si>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</si>
  <si>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</si>
  <si>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</si>
  <si>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</si>
  <si>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</si>
  <si>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</si>
  <si>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</si>
  <si>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</si>
  <si>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</si>
  <si>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</si>
  <si>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</si>
  <si>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</si>
  <si>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</si>
  <si>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</si>
  <si>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</si>
  <si>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</si>
  <si>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</si>
  <si>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</si>
  <si>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</si>
  <si>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</si>
  <si>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</si>
  <si>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</si>
  <si>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</si>
  <si>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</si>
  <si>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</si>
  <si>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</si>
  <si>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</si>
  <si>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</si>
  <si>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</si>
  <si>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</si>
  <si>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</si>
  <si>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</si>
  <si>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</si>
  <si>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</si>
  <si>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</si>
  <si>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</si>
  <si>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</si>
  <si>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</si>
  <si>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</si>
  <si>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</si>
  <si>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</si>
  <si>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</si>
  <si>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</si>
  <si>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</si>
  <si>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</si>
  <si>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</si>
  <si>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</si>
  <si>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</si>
  <si>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</si>
  <si>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</si>
  <si>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</si>
  <si>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</si>
  <si>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</si>
  <si>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</si>
  <si>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</si>
  <si>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</si>
  <si>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</si>
  <si>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</si>
  <si>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</si>
  <si>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</si>
  <si>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</si>
  <si>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</si>
  <si>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</si>
  <si>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</si>
  <si>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</si>
  <si>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</si>
  <si>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</si>
  <si>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</si>
  <si>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</si>
  <si>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</si>
  <si>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</si>
  <si>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</si>
  <si>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</si>
  <si>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</si>
  <si>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</si>
  <si>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</si>
  <si>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</si>
  <si>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</si>
  <si>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</si>
  <si>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</si>
  <si>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</si>
  <si>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</si>
  <si>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</si>
  <si>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</si>
  <si>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</si>
  <si>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</si>
  <si>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</si>
  <si>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</si>
  <si>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</si>
  <si>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</si>
  <si>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</si>
  <si>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</si>
  <si>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</si>
  <si>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</si>
  <si>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</si>
  <si>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</si>
  <si>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</si>
  <si>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</si>
  <si>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</si>
  <si>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</si>
  <si>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</si>
  <si>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</si>
  <si>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</si>
  <si>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</si>
  <si>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</si>
  <si>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</si>
  <si>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</si>
  <si>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</si>
  <si>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</si>
  <si>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</si>
  <si>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</si>
  <si>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</si>
  <si>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</si>
  <si>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</si>
  <si>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</si>
  <si>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</si>
  <si>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</si>
  <si>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</si>
  <si>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</si>
  <si>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</si>
  <si>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</si>
  <si>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</si>
  <si>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</si>
  <si>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</si>
  <si>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</si>
  <si>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</si>
  <si>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</si>
  <si>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</si>
  <si>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</si>
  <si>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</si>
  <si>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</si>
  <si>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</si>
  <si>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</si>
  <si>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</si>
  <si>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</si>
  <si>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</si>
  <si>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</si>
  <si>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</si>
  <si>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</si>
  <si>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</si>
  <si>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</si>
  <si>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</si>
  <si>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</si>
  <si>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</si>
  <si>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</si>
  <si>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</si>
  <si>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</si>
  <si>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</si>
  <si>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</si>
  <si>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</si>
  <si>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</si>
  <si>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</si>
  <si>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</si>
  <si>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</si>
  <si>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</si>
  <si>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</si>
  <si>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</si>
  <si>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</si>
  <si>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</si>
  <si>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</si>
  <si>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</si>
  <si>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</si>
  <si>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</si>
  <si>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</si>
  <si>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</si>
  <si>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</si>
  <si>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</si>
  <si>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</si>
  <si>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</si>
  <si>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</si>
  <si>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</si>
  <si>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</si>
  <si>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</si>
  <si>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</si>
  <si>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</si>
  <si>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</si>
  <si>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</si>
  <si>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</si>
  <si>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</si>
  <si>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</si>
  <si>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</si>
  <si>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</si>
  <si>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</si>
  <si>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</si>
  <si>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</si>
  <si>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</si>
  <si>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</si>
  <si>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</si>
  <si>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</si>
  <si>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</si>
  <si>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</si>
  <si>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</si>
  <si>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</si>
  <si>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</si>
  <si>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</si>
  <si>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</si>
  <si>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</si>
  <si>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</si>
  <si>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</si>
  <si>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</si>
  <si>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</si>
  <si>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</si>
  <si>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</si>
  <si>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</si>
  <si>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</si>
  <si>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</si>
  <si>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</si>
  <si>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</si>
  <si>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</si>
  <si>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</si>
  <si>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</si>
  <si>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</si>
  <si>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</si>
  <si>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</si>
  <si>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</si>
  <si>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</si>
  <si>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</si>
  <si>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</si>
  <si>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</si>
  <si>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</si>
  <si>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</si>
  <si>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</si>
  <si>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</si>
  <si>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</si>
  <si>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</si>
  <si>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</si>
  <si>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</si>
  <si>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</si>
  <si>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</si>
  <si>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</si>
  <si>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</si>
  <si>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</si>
  <si>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</si>
  <si>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</si>
  <si>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</si>
  <si>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</si>
  <si>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</si>
  <si>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</si>
  <si>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</si>
  <si>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</si>
  <si>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</si>
  <si>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</si>
  <si>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</si>
  <si>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</si>
  <si>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</si>
  <si>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</si>
  <si>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</si>
  <si>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</si>
  <si>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</si>
  <si>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</si>
  <si>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</si>
  <si>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</si>
  <si>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</si>
  <si>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</si>
  <si>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</si>
  <si>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</si>
  <si>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</si>
  <si>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</si>
  <si>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</si>
  <si>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</si>
  <si>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</si>
  <si>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</si>
  <si>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</si>
  <si>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</si>
  <si>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</si>
  <si>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</si>
  <si>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</si>
  <si>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</si>
  <si>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</si>
  <si>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</si>
  <si>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</si>
  <si>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</si>
  <si>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</si>
  <si>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</si>
  <si>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</si>
  <si>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</si>
  <si>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</si>
  <si>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</si>
  <si>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</si>
  <si>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</si>
  <si>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</si>
  <si>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</si>
  <si>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</si>
  <si>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</si>
  <si>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</si>
  <si>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</si>
  <si>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</si>
  <si>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</si>
  <si>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</si>
  <si>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</si>
  <si>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</si>
  <si>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</si>
  <si>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</si>
  <si>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</si>
  <si>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</si>
  <si>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</si>
  <si>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</si>
  <si>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</si>
  <si>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</si>
  <si>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</si>
  <si>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</si>
  <si>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</si>
  <si>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</si>
  <si>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</si>
  <si>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</si>
  <si>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</si>
  <si>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</si>
  <si>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</si>
  <si>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</si>
  <si>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</si>
  <si>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</si>
  <si>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</si>
  <si>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</si>
  <si>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</si>
  <si>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</si>
  <si>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</si>
  <si>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</si>
  <si>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</si>
  <si>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</si>
  <si>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</si>
  <si>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</si>
  <si>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</si>
  <si>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</si>
  <si>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</si>
  <si>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</si>
  <si>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</si>
  <si>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</si>
  <si>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</si>
  <si>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</si>
  <si>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</si>
  <si>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</si>
  <si>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</si>
  <si>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</si>
  <si>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</si>
  <si>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</si>
  <si>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</si>
  <si>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</si>
  <si>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</si>
  <si>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</si>
  <si>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</si>
  <si>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</si>
  <si>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</si>
  <si>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</si>
  <si>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</si>
  <si>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</si>
  <si>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</si>
  <si>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</si>
  <si>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</si>
  <si>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</si>
  <si>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</si>
  <si>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</si>
  <si>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</si>
  <si>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</si>
  <si>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</si>
  <si>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</si>
  <si>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</si>
  <si>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</si>
  <si>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</si>
  <si>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</si>
  <si>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</si>
  <si>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</si>
  <si>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</si>
  <si>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</si>
  <si>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</si>
  <si>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</si>
  <si>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</si>
  <si>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</si>
  <si>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</si>
  <si>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</si>
  <si>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</si>
  <si>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</si>
  <si>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</si>
  <si>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</si>
  <si>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</si>
  <si>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</si>
  <si>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</si>
  <si>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</si>
  <si>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</si>
  <si>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</si>
  <si>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</si>
  <si>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</si>
  <si>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</si>
  <si>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</si>
  <si>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</si>
  <si>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</si>
  <si>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</si>
  <si>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</si>
  <si>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</si>
  <si>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</si>
  <si>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</si>
  <si>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</si>
  <si>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</si>
  <si>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</si>
  <si>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</si>
  <si>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</si>
  <si>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</si>
  <si>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</si>
  <si>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</si>
  <si>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</si>
  <si>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</si>
  <si>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</si>
  <si>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</si>
  <si>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</si>
  <si>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</si>
  <si>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</si>
  <si>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</si>
  <si>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</si>
  <si>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</si>
  <si>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</si>
  <si>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</si>
  <si>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</si>
  <si>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</si>
  <si>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</si>
  <si>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</si>
  <si>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</si>
  <si>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</si>
  <si>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</si>
  <si>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</si>
  <si>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</si>
  <si>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</si>
  <si>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</si>
  <si>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</si>
  <si>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</si>
  <si>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</si>
  <si>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</si>
  <si>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</si>
  <si>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</si>
  <si>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</si>
  <si>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</si>
  <si>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</si>
  <si>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</si>
  <si>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</si>
  <si>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</si>
  <si>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</si>
  <si>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</si>
  <si>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</si>
  <si>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</si>
  <si>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</si>
  <si>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</si>
  <si>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</si>
  <si>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</si>
  <si>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</si>
  <si>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</si>
  <si>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</si>
  <si>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</si>
  <si>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</si>
  <si>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</si>
  <si>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</si>
  <si>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</si>
  <si>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</si>
  <si>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</si>
  <si>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</si>
  <si>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</si>
  <si>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</si>
  <si>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</si>
  <si>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</si>
  <si>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</si>
  <si>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</si>
  <si>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</si>
  <si>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</si>
  <si>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</si>
  <si>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</si>
  <si>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</si>
  <si>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</si>
  <si>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</si>
  <si>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</si>
  <si>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</si>
  <si>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</si>
  <si>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</si>
  <si>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</si>
  <si>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</si>
  <si>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</si>
  <si>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</si>
  <si>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</si>
  <si>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</si>
  <si>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</si>
  <si>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</si>
  <si>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</si>
  <si>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</si>
  <si>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</si>
  <si>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</si>
  <si>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</si>
  <si>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</si>
  <si>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</si>
  <si>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</si>
  <si>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</si>
  <si>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</si>
  <si>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</si>
  <si>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</si>
  <si>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</si>
  <si>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</si>
  <si>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</si>
  <si>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</si>
  <si>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</si>
  <si>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</si>
  <si>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</si>
  <si>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</si>
  <si>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</si>
  <si>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</si>
  <si>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</si>
  <si>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</si>
  <si>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</si>
  <si>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</si>
  <si>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</si>
  <si>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</si>
  <si>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</si>
  <si>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</si>
  <si>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</si>
  <si>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</si>
  <si>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</si>
  <si>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</si>
  <si>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</si>
  <si>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</si>
  <si>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</si>
  <si>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</si>
  <si>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</si>
  <si>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</si>
  <si>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</si>
  <si>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</si>
  <si>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</si>
  <si>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</si>
  <si>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</si>
  <si>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</si>
  <si>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</si>
  <si>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</si>
  <si>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</si>
  <si>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</si>
  <si>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</si>
  <si>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</si>
  <si>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</si>
  <si>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</si>
  <si>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</si>
  <si>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</si>
  <si>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</si>
  <si>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</si>
  <si>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</si>
  <si>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</si>
  <si>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</si>
  <si>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</si>
  <si>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</si>
  <si>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</si>
  <si>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</si>
  <si>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</si>
  <si>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</si>
  <si>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</si>
  <si>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</si>
  <si>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</si>
  <si>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</si>
  <si>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</si>
  <si>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</si>
  <si>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</si>
  <si>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</si>
  <si>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</si>
  <si>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</si>
  <si>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</si>
  <si>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</si>
  <si>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</si>
  <si>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</si>
  <si>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</si>
  <si>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</si>
  <si>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</si>
  <si>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</si>
  <si>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</si>
  <si>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</si>
  <si>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</si>
  <si>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</si>
  <si>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</si>
  <si>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</si>
  <si>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</si>
  <si>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</si>
  <si>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</si>
  <si>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</si>
  <si>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</si>
  <si>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</si>
  <si>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</si>
  <si>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</si>
  <si>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</si>
  <si>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</si>
  <si>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</si>
  <si>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</si>
  <si>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</si>
  <si>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</si>
  <si>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</si>
  <si>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</si>
  <si>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</si>
  <si>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</si>
  <si>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</si>
  <si>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</si>
  <si>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</si>
  <si>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</si>
  <si>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</si>
  <si>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</si>
  <si>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</si>
  <si>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</si>
  <si>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</si>
  <si>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</si>
  <si>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</si>
  <si>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</si>
  <si>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</si>
  <si>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</si>
  <si>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</si>
  <si>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</si>
  <si>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</si>
  <si>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</si>
  <si>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</si>
  <si>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</si>
  <si>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</si>
  <si>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</si>
  <si>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</si>
  <si>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</si>
  <si>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</si>
  <si>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</si>
  <si>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</si>
  <si>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</si>
  <si>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</si>
  <si>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</si>
  <si>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</si>
  <si>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</si>
  <si>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</si>
  <si>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</si>
  <si>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</si>
  <si>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</si>
  <si>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</si>
  <si>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</si>
  <si>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</si>
  <si>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</si>
  <si>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</si>
  <si>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</si>
  <si>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</si>
  <si>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</si>
  <si>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</si>
  <si>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</si>
  <si>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</si>
  <si>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</si>
  <si>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</si>
  <si>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</si>
  <si>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</si>
  <si>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</si>
  <si>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</si>
  <si>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</si>
  <si>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</si>
  <si>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</si>
  <si>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</si>
  <si>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</si>
  <si>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</si>
  <si>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</si>
  <si>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</si>
  <si>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</si>
  <si>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</si>
  <si>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</si>
  <si>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</si>
  <si>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</si>
  <si>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</si>
  <si>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</si>
  <si>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</si>
  <si>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</si>
  <si>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</si>
  <si>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</si>
  <si>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</si>
  <si>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</si>
  <si>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</si>
  <si>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</si>
  <si>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</si>
  <si>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</si>
  <si>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</si>
  <si>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</si>
  <si>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</si>
  <si>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</si>
  <si>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</si>
  <si>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</si>
  <si>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</si>
  <si>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</si>
  <si>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</si>
  <si>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</si>
  <si>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</si>
  <si>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</si>
  <si>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</si>
  <si>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</si>
  <si>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</si>
  <si>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</si>
  <si>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</si>
  <si>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</si>
  <si>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</si>
  <si>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</si>
  <si>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</si>
  <si>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</si>
  <si>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</si>
  <si>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</si>
  <si>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</si>
  <si>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</si>
  <si>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</si>
  <si>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</si>
  <si>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</si>
  <si>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</si>
  <si>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</si>
  <si>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</si>
  <si>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</si>
  <si>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</si>
  <si>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</si>
  <si>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</si>
  <si>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</si>
  <si>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</si>
  <si>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</si>
  <si>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</si>
  <si>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</si>
  <si>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</si>
  <si>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</si>
  <si>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</si>
  <si>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</si>
  <si>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</si>
  <si>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</si>
  <si>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</si>
  <si>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</si>
  <si>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</si>
  <si>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</si>
  <si>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</si>
  <si>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</si>
  <si>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</si>
  <si>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</si>
  <si>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</si>
  <si>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</si>
  <si>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</si>
  <si>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</si>
  <si>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</si>
  <si>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</si>
  <si>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</si>
  <si>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</si>
  <si>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</si>
  <si>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</si>
  <si>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</si>
  <si>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</si>
  <si>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</si>
  <si>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</si>
  <si>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</si>
  <si>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</si>
  <si>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</si>
  <si>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</si>
  <si>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</si>
  <si>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</si>
  <si>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</si>
  <si>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</si>
  <si>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</si>
  <si>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</si>
  <si>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</si>
  <si>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</si>
  <si>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</si>
  <si>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</si>
  <si>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</si>
  <si>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</si>
  <si>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</si>
  <si>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</si>
  <si>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</si>
  <si>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</si>
  <si>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</si>
  <si>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</si>
  <si>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</si>
  <si>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</si>
  <si>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</si>
  <si>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</si>
  <si>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</si>
  <si>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</si>
  <si>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</si>
  <si>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</si>
  <si>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</si>
  <si>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</si>
  <si>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</si>
  <si>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</si>
  <si>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</si>
  <si>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</si>
  <si>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</si>
  <si>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</si>
  <si>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</si>
  <si>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</si>
  <si>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</si>
  <si>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</si>
  <si>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</si>
  <si>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</si>
  <si>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</si>
  <si>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</si>
  <si>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</si>
  <si>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</si>
  <si>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</si>
  <si>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</si>
  <si>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</si>
  <si>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</si>
  <si>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</si>
  <si>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</si>
  <si>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</si>
  <si>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</si>
  <si>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</si>
  <si>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</si>
  <si>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</si>
  <si>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</si>
  <si>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</si>
  <si>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</si>
  <si>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</si>
  <si>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</si>
  <si>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</si>
  <si>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</si>
  <si>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</si>
  <si>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</si>
  <si>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</si>
  <si>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</si>
  <si>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</si>
  <si>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</si>
  <si>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</si>
  <si>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</si>
  <si>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</si>
  <si>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</si>
  <si>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</si>
  <si>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</si>
  <si>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</si>
  <si>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</si>
  <si>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</si>
  <si>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</si>
  <si>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</si>
  <si>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</si>
  <si>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</si>
  <si>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</si>
  <si>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</si>
  <si>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</si>
  <si>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</si>
  <si>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</si>
  <si>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</si>
  <si>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</si>
  <si>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</si>
  <si>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</si>
  <si>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</si>
  <si>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</si>
  <si>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</si>
  <si>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</si>
  <si>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</si>
  <si>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</si>
  <si>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</si>
  <si>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</si>
  <si>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</si>
  <si>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</si>
  <si>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</si>
  <si>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</si>
  <si>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</si>
  <si>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</si>
  <si>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</si>
  <si>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</si>
  <si>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</si>
  <si>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</si>
  <si>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</si>
  <si>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</si>
  <si>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</si>
  <si>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</si>
  <si>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</si>
  <si>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</si>
  <si>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</si>
  <si>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</si>
  <si>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</si>
  <si>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</si>
  <si>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</si>
  <si>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</si>
  <si>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</si>
  <si>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</si>
  <si>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</si>
  <si>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</si>
  <si>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</si>
  <si>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</si>
  <si>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</si>
  <si>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</si>
  <si>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</si>
  <si>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</si>
  <si>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</si>
  <si>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</si>
  <si>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</si>
  <si>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</si>
  <si>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</si>
  <si>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</si>
  <si>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</si>
  <si>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</si>
  <si>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</si>
  <si>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</si>
  <si>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</si>
  <si>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</si>
  <si>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</si>
  <si>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</si>
  <si>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</si>
  <si>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</si>
  <si>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</si>
  <si>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</si>
  <si>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</si>
  <si>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</si>
  <si>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</si>
  <si>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</si>
  <si>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</si>
  <si>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</si>
  <si>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</si>
  <si>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</si>
  <si>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</si>
  <si>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</si>
  <si>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</si>
  <si>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</si>
  <si>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</si>
  <si>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</si>
  <si>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</si>
  <si>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</si>
  <si>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</si>
  <si>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</si>
  <si>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</si>
  <si>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</si>
  <si>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</si>
  <si>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</si>
  <si>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</si>
  <si>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</si>
  <si>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</si>
  <si>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</si>
  <si>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</si>
  <si>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</si>
  <si>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</si>
  <si>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</si>
  <si>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</si>
  <si>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</si>
  <si>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</si>
  <si>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</si>
  <si>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</si>
  <si>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</si>
  <si>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</si>
  <si>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</si>
  <si>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</si>
  <si>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</si>
  <si>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</si>
  <si>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</si>
  <si>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</si>
  <si>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</si>
  <si>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</si>
  <si>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</si>
  <si>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</si>
  <si>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</si>
  <si>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</si>
  <si>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</si>
  <si>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</si>
  <si>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</si>
  <si>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</si>
  <si>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</si>
  <si>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</si>
  <si>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</si>
  <si>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</si>
  <si>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</si>
  <si>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</si>
  <si>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</si>
  <si>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</si>
  <si>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</si>
  <si>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</si>
  <si>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</si>
  <si>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</si>
  <si>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</si>
  <si>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</si>
  <si>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</si>
  <si>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</si>
  <si>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</si>
  <si>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</si>
  <si>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</si>
  <si>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</si>
  <si>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</si>
  <si>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</si>
  <si>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</si>
  <si>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</si>
  <si>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</si>
  <si>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</si>
  <si>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</si>
  <si>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</si>
  <si>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</si>
  <si>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</si>
  <si>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</si>
  <si>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</si>
  <si>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</si>
  <si>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</si>
  <si>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</si>
  <si>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</si>
  <si>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</si>
  <si>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</si>
  <si>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</si>
  <si>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</si>
  <si>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</si>
  <si>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</si>
  <si>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</si>
  <si>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</si>
  <si>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</si>
  <si>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</si>
  <si>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</si>
  <si>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</si>
  <si>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</si>
  <si>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</si>
  <si>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</si>
  <si>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</si>
  <si>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</si>
  <si>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</si>
  <si>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</si>
  <si>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</si>
  <si>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</si>
  <si>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</si>
  <si>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</si>
  <si>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</si>
  <si>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</si>
  <si>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</si>
  <si>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</si>
  <si>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</si>
  <si>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</si>
  <si>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</si>
  <si>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</si>
  <si>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</si>
  <si>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</si>
  <si>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</si>
  <si>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</si>
  <si>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</si>
  <si>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</si>
  <si>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</si>
  <si>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</si>
  <si>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</si>
  <si>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</si>
  <si>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</si>
  <si>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</si>
  <si>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</si>
  <si>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</si>
  <si>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</si>
  <si>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</si>
  <si>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</si>
  <si>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</si>
  <si>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</si>
  <si>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</si>
  <si>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</si>
  <si>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</si>
  <si>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</si>
  <si>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</si>
  <si>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</si>
  <si>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</si>
  <si>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</si>
  <si>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</si>
  <si>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</si>
  <si>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</si>
  <si>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</si>
  <si>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</si>
  <si>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</si>
  <si>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</si>
  <si>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</si>
  <si>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</si>
  <si>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</si>
  <si>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</si>
  <si>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</si>
  <si>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</si>
  <si>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</si>
  <si>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</si>
  <si>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</si>
  <si>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</si>
  <si>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</si>
  <si>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</si>
  <si>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</si>
  <si>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</si>
  <si>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</si>
  <si>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</si>
  <si>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</si>
  <si>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</si>
  <si>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</si>
  <si>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</si>
  <si>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</si>
  <si>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</si>
  <si>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</si>
  <si>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</si>
  <si>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</si>
  <si>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</si>
  <si>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</si>
  <si>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</si>
  <si>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</si>
  <si>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</si>
  <si>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</si>
  <si>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</si>
  <si>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</si>
  <si>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</si>
  <si>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</si>
  <si>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</si>
  <si>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</si>
  <si>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</si>
  <si>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</si>
  <si>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</si>
  <si>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</si>
  <si>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</si>
  <si>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</si>
  <si>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</si>
  <si>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</si>
  <si>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</si>
  <si>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</si>
  <si>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</si>
  <si>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</si>
  <si>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</si>
  <si>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</si>
  <si>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</si>
  <si>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</si>
  <si>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</si>
  <si>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</si>
  <si>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</si>
  <si>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</si>
  <si>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</si>
  <si>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</si>
  <si>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</si>
  <si>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</si>
  <si>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</si>
  <si>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</si>
  <si>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</si>
  <si>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</si>
  <si>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</si>
  <si>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</si>
  <si>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</si>
  <si>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</si>
  <si>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</si>
  <si>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</si>
  <si>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</si>
  <si>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</si>
  <si>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</si>
  <si>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</si>
  <si>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</si>
  <si>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</si>
  <si>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</si>
  <si>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</si>
  <si>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</si>
  <si>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</si>
  <si>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</si>
  <si>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</si>
  <si>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</si>
  <si>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</si>
  <si>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</si>
  <si>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</si>
  <si>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</si>
  <si>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</si>
  <si>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</si>
  <si>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</si>
  <si>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</si>
  <si>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</si>
  <si>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</si>
  <si>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</si>
  <si>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</si>
  <si>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</si>
  <si>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</si>
  <si>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</si>
  <si>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</si>
  <si>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</si>
  <si>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</si>
  <si>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</si>
  <si>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</si>
  <si>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</si>
  <si>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</si>
  <si>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</si>
  <si>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</si>
  <si>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</si>
  <si>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</si>
  <si>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</si>
  <si>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</si>
  <si>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</si>
  <si>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</si>
  <si>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</si>
  <si>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</si>
  <si>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</si>
  <si>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</si>
  <si>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</si>
  <si>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</si>
  <si>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</si>
  <si>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</si>
  <si>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</si>
  <si>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</si>
  <si>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</si>
  <si>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</si>
  <si>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</si>
  <si>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</si>
  <si>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</si>
  <si>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</si>
  <si>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</si>
  <si>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</si>
  <si>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</si>
  <si>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</si>
  <si>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</si>
  <si>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</si>
  <si>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</si>
  <si>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</si>
  <si>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</si>
  <si>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</si>
  <si>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</si>
  <si>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</si>
  <si>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</si>
  <si>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</si>
  <si>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</si>
  <si>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</si>
  <si>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</si>
  <si>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</si>
  <si>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</si>
  <si>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</si>
  <si>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</si>
  <si>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</si>
  <si>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</si>
  <si>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</si>
  <si>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</si>
  <si>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</si>
  <si>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</si>
  <si>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</si>
  <si>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</si>
  <si>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</si>
  <si>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</si>
  <si>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</si>
  <si>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</si>
  <si>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</si>
  <si>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</si>
  <si>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</si>
  <si>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</si>
  <si>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</si>
  <si>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</si>
  <si>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</si>
  <si>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</si>
  <si>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</si>
  <si>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</si>
  <si>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</si>
  <si>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</si>
  <si>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</si>
  <si>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</si>
  <si>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</si>
  <si>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</si>
  <si>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</si>
  <si>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</si>
  <si>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</si>
  <si>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</si>
  <si>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</si>
  <si>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</si>
  <si>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</si>
  <si>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</si>
  <si>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</si>
  <si>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</si>
  <si>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</si>
  <si>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</si>
  <si>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</si>
  <si>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</si>
  <si>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</si>
  <si>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</si>
  <si>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</si>
  <si>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</si>
  <si>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</si>
  <si>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</si>
  <si>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</si>
  <si>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</si>
  <si>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</si>
  <si>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</si>
  <si>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</si>
  <si>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</si>
  <si>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</si>
  <si>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</si>
  <si>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</si>
  <si>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</si>
  <si>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</si>
  <si>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</si>
  <si>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</si>
  <si>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</si>
  <si>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</si>
  <si>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</si>
  <si>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</si>
  <si>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</si>
  <si>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</si>
  <si>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</si>
  <si>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</si>
  <si>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</si>
  <si>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</si>
  <si>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</si>
  <si>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</si>
  <si>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</si>
  <si>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</si>
  <si>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</si>
  <si>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</si>
  <si>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</si>
  <si>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</si>
  <si>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</si>
  <si>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</si>
  <si>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</si>
  <si>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</si>
  <si>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</si>
  <si>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</si>
  <si>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</si>
  <si>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</si>
  <si>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</si>
  <si>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</si>
  <si>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</si>
  <si>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</si>
  <si>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</si>
  <si>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</si>
  <si>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</si>
  <si>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</si>
  <si>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</si>
  <si>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</si>
  <si>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</si>
  <si>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</si>
  <si>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</si>
  <si>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</si>
  <si>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</si>
  <si>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</si>
  <si>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</si>
  <si>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</si>
  <si>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</si>
  <si>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</si>
  <si>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</si>
  <si>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</si>
  <si>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</si>
  <si>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</si>
  <si>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</si>
  <si>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</si>
  <si>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</si>
  <si>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</si>
  <si>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</si>
  <si>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</si>
  <si>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</si>
  <si>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</si>
  <si>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</si>
  <si>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</si>
  <si>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</si>
  <si>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</si>
  <si>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</si>
  <si>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</si>
  <si>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</si>
  <si>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</si>
  <si>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</si>
  <si>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</si>
  <si>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</si>
  <si>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</si>
  <si>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</si>
  <si>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</si>
  <si>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</si>
  <si>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</si>
  <si>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</si>
  <si>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</si>
  <si>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</si>
  <si>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</si>
  <si>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</si>
  <si>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</si>
  <si>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</si>
  <si>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</si>
  <si>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</si>
  <si>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</si>
  <si>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</si>
  <si>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</si>
  <si>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</si>
  <si>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</si>
  <si>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</si>
  <si>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</si>
  <si>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</si>
  <si>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</si>
  <si>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</si>
  <si>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</si>
  <si>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</si>
  <si>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</si>
  <si>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</si>
  <si>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</si>
  <si>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</si>
  <si>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</si>
  <si>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</si>
  <si>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</si>
  <si>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</si>
  <si>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</si>
  <si>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</si>
  <si>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</si>
  <si>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</si>
  <si>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</si>
  <si>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</si>
  <si>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</si>
  <si>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</si>
  <si>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</si>
  <si>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</si>
  <si>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</si>
  <si>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</si>
  <si>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</si>
  <si>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</si>
  <si>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</si>
  <si>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</si>
  <si>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</si>
  <si>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</si>
  <si>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</si>
  <si>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</si>
  <si>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</si>
  <si>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</si>
  <si>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</si>
  <si>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</si>
  <si>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</si>
  <si>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</si>
  <si>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</si>
  <si>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</si>
  <si>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</si>
  <si>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</si>
  <si>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</si>
  <si>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</si>
  <si>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</si>
  <si>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</si>
  <si>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</si>
  <si>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</si>
  <si>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</si>
  <si>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</si>
  <si>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</si>
  <si>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</si>
  <si>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</si>
  <si>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</si>
  <si>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</si>
  <si>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</si>
  <si>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</si>
  <si>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</si>
  <si>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</si>
  <si>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</si>
  <si>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</si>
  <si>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</si>
  <si>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</si>
  <si>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</si>
  <si>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</si>
  <si>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</si>
  <si>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</si>
  <si>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</si>
  <si>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</si>
  <si>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</si>
  <si>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</si>
  <si>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</si>
  <si>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</si>
  <si>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</si>
  <si>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</si>
  <si>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</si>
  <si>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</si>
  <si>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</si>
  <si>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</si>
  <si>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</si>
  <si>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</si>
  <si>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</si>
  <si>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</si>
  <si>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</si>
  <si>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</si>
  <si>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</si>
  <si>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</si>
  <si>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</si>
  <si>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</si>
  <si>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</si>
  <si>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</si>
  <si>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</si>
  <si>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</si>
  <si>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</si>
  <si>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</si>
  <si>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</si>
  <si>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</si>
  <si>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</si>
  <si>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</si>
  <si>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</si>
  <si>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</si>
  <si>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</si>
  <si>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</si>
  <si>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</si>
  <si>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</si>
  <si>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</si>
  <si>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</si>
  <si>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</si>
  <si>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</si>
  <si>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</si>
  <si>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</si>
  <si>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</si>
  <si>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</si>
  <si>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</si>
  <si>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</si>
  <si>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</si>
  <si>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</si>
  <si>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</si>
  <si>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</si>
  <si>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</si>
  <si>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</si>
  <si>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</si>
  <si>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</si>
  <si>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</si>
  <si>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</si>
  <si>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</si>
  <si>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</si>
  <si>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</si>
  <si>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</si>
  <si>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</si>
  <si>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</si>
  <si>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</si>
  <si>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</si>
  <si>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</si>
  <si>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</si>
  <si>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</si>
  <si>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</si>
  <si>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</si>
  <si>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</si>
  <si>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</si>
  <si>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</si>
  <si>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</si>
  <si>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</si>
  <si>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</si>
  <si>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</si>
  <si>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</si>
  <si>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</si>
  <si>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</si>
  <si>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</si>
  <si>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</si>
  <si>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</si>
  <si>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</si>
  <si>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</si>
  <si>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</si>
  <si>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</si>
  <si>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</si>
  <si>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</si>
  <si>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</si>
  <si>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</si>
  <si>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</si>
  <si>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</si>
  <si>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</si>
  <si>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</si>
  <si>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</si>
  <si>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</si>
  <si>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</si>
  <si>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</si>
  <si>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</si>
  <si>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</si>
  <si>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</si>
  <si>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</si>
  <si>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</si>
  <si>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</si>
  <si>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</si>
  <si>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</si>
  <si>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</si>
  <si>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</si>
  <si>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</si>
  <si>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</si>
  <si>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</si>
  <si>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</si>
  <si>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</si>
  <si>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</si>
  <si>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</si>
  <si>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</si>
  <si>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</si>
  <si>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</si>
  <si>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</si>
  <si>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</si>
  <si>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</si>
  <si>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</si>
  <si>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</si>
  <si>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</si>
  <si>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</si>
  <si>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</si>
  <si>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</si>
  <si>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</si>
  <si>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</si>
  <si>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</si>
  <si>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</si>
  <si>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</si>
  <si>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</si>
  <si>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</si>
  <si>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</si>
  <si>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</si>
  <si>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</si>
  <si>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</si>
  <si>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</si>
  <si>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</si>
  <si>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</si>
  <si>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</si>
  <si>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</si>
  <si>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</si>
  <si>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</si>
  <si>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</si>
  <si>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</si>
  <si>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</si>
  <si>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</si>
  <si>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</si>
  <si>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</si>
  <si>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</si>
  <si>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</si>
  <si>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</si>
  <si>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</si>
  <si>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</si>
  <si>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</si>
  <si>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</si>
  <si>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</si>
  <si>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</si>
  <si>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</si>
  <si>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</si>
  <si>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</si>
  <si>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</si>
  <si>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</si>
  <si>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</si>
  <si>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</si>
  <si>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</si>
  <si>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</si>
  <si>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</si>
  <si>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</si>
  <si>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</si>
  <si>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</si>
  <si>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</si>
  <si>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</si>
  <si>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</si>
  <si>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</si>
  <si>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</si>
  <si>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</si>
  <si>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</si>
  <si>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</si>
  <si>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</si>
  <si>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</si>
  <si>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</si>
  <si>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</si>
  <si>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</si>
  <si>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</si>
  <si>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</si>
  <si>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</si>
  <si>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</si>
  <si>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</si>
  <si>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</si>
  <si>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</si>
  <si>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</si>
  <si>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</si>
  <si>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</si>
  <si>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</si>
  <si>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</si>
  <si>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</si>
  <si>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</si>
  <si>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</si>
  <si>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</si>
  <si>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</si>
  <si>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</si>
  <si>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</si>
  <si>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</si>
  <si>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</si>
  <si>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</si>
  <si>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</si>
  <si>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</si>
  <si>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</si>
  <si>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</si>
  <si>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</si>
  <si>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</si>
  <si>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</si>
  <si>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</si>
  <si>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</si>
  <si>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</si>
  <si>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</si>
  <si>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</si>
  <si>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</si>
  <si>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</si>
  <si>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</si>
  <si>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</si>
  <si>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</si>
  <si>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</si>
  <si>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</si>
  <si>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</si>
  <si>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</si>
  <si>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</si>
  <si>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</si>
  <si>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</si>
  <si>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</si>
  <si>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</si>
  <si>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</si>
  <si>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</si>
  <si>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</si>
  <si>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</si>
  <si>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</si>
  <si>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</si>
  <si>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</si>
  <si>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</si>
  <si>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</si>
  <si>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</si>
  <si>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</si>
  <si>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</si>
  <si>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</si>
  <si>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</si>
  <si>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</si>
  <si>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</si>
  <si>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</si>
  <si>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</si>
  <si>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</si>
  <si>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</si>
  <si>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</si>
  <si>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</si>
  <si>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</si>
  <si>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</si>
  <si>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</si>
  <si>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</si>
  <si>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</si>
  <si>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</si>
  <si>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</si>
  <si>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</si>
  <si>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The Lyla</t>
  </si>
  <si>
    <t>City of Elk Grove</t>
  </si>
  <si>
    <t>Jason Behrmann</t>
  </si>
  <si>
    <t>8401 Laguna Palms Way</t>
  </si>
  <si>
    <t>Elk Grove</t>
  </si>
  <si>
    <t>916.478.2200</t>
  </si>
  <si>
    <t>916.691.2001</t>
  </si>
  <si>
    <t>jbehrmann@elkgrovecity.org</t>
  </si>
  <si>
    <t>CDLAC-TCAC Joint Application (submitting concurrently)</t>
  </si>
  <si>
    <t>Bruceville Road, north of Laguna Boulevard</t>
  </si>
  <si>
    <t>116-0011-020 &amp; -021, 116-1380-005, 116-1380-008, 116-1380-009, 116-1380-010 &amp; 116-1380-014</t>
  </si>
  <si>
    <t>High Resource</t>
  </si>
  <si>
    <t>$500M</t>
  </si>
  <si>
    <t>40%/60% Average Income</t>
  </si>
  <si>
    <t>430 E. State Street, Suite 100</t>
  </si>
  <si>
    <t>Eagle</t>
  </si>
  <si>
    <t>ID</t>
  </si>
  <si>
    <t>Caleb Roope</t>
  </si>
  <si>
    <t>208.461.0022</t>
  </si>
  <si>
    <t>208.461.3267</t>
  </si>
  <si>
    <t>calebr@tpchousing.com</t>
  </si>
  <si>
    <t>Riverside Charitable Corporation</t>
  </si>
  <si>
    <t>Managing GP</t>
  </si>
  <si>
    <t>14131 Yorba Street</t>
  </si>
  <si>
    <t>Tustin</t>
  </si>
  <si>
    <t>CA</t>
  </si>
  <si>
    <t>Recinda Shafer</t>
  </si>
  <si>
    <t>714.628.1654</t>
  </si>
  <si>
    <t>714.628.1656</t>
  </si>
  <si>
    <t>recinda@riversidecharitable.org</t>
  </si>
  <si>
    <t>TPC Holdings IX, LLC</t>
  </si>
  <si>
    <t>Administrative GP</t>
  </si>
  <si>
    <t>The Pacific Companies</t>
  </si>
  <si>
    <t>Kelley Ventures, LLC</t>
  </si>
  <si>
    <t>520 Capitol Mall, Suite 150</t>
  </si>
  <si>
    <t>Mike Kelley</t>
  </si>
  <si>
    <t>916.834.5986</t>
  </si>
  <si>
    <t>916.669.8033</t>
  </si>
  <si>
    <t>mkelley86@yahoo.com</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</si>
  <si>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</si>
  <si>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</si>
  <si>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</si>
  <si>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</si>
  <si>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</si>
  <si>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</si>
  <si>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</si>
  <si>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</si>
  <si>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</si>
  <si>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</si>
  <si>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</si>
  <si>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</si>
  <si>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</si>
  <si>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</si>
  <si>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</si>
  <si>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</si>
  <si>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</si>
  <si>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</si>
  <si>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</si>
  <si>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</si>
  <si>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</si>
  <si>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</si>
  <si>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</si>
  <si>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</si>
  <si>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</si>
  <si>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</si>
  <si>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</si>
  <si>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</si>
  <si>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</si>
  <si>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</si>
  <si>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</si>
  <si>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</si>
  <si>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</si>
  <si>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</si>
  <si>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</si>
  <si>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</si>
  <si>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</si>
  <si>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</si>
  <si>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</si>
  <si>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</si>
  <si>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</si>
  <si>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</si>
  <si>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</si>
  <si>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</si>
  <si>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</si>
  <si>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</si>
  <si>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</si>
  <si>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</si>
  <si>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Municipal Finance Authority (CMFA)</t>
  </si>
  <si>
    <t>Aperto Property Management, Inc.</t>
  </si>
  <si>
    <t>2111 Palomar Airport Rd., Ste. 320</t>
  </si>
  <si>
    <t>2 Venture, Suite 525</t>
  </si>
  <si>
    <t>Carlsbad, CA 92011</t>
  </si>
  <si>
    <t>Irvine, CA 92618</t>
  </si>
  <si>
    <t>Ben Barker</t>
  </si>
  <si>
    <t>Ed Quigley</t>
  </si>
  <si>
    <t>760.930.1266</t>
  </si>
  <si>
    <t>949.873.0160</t>
  </si>
  <si>
    <t>760.683.3390</t>
  </si>
  <si>
    <t>877.657.8741</t>
  </si>
  <si>
    <t>bbarker@cmfa-ca.com</t>
  </si>
  <si>
    <t>equigley@apertopm.com</t>
  </si>
  <si>
    <t>President &amp; CEO</t>
  </si>
  <si>
    <t>Other (Specify below)</t>
  </si>
  <si>
    <t>3-Story Garden-Style Walk-up Residential Buildings.</t>
  </si>
  <si>
    <t>Common areas / community space included within one of the residential buildings.</t>
  </si>
  <si>
    <t>Sensory impaired pursuant to CBC Chapter 11B</t>
  </si>
  <si>
    <t>Multifamily Residential</t>
  </si>
  <si>
    <t>RD-40; 54 du / acre</t>
  </si>
  <si>
    <t>60' Maximum</t>
  </si>
  <si>
    <t>441 Parking Spaces Required</t>
  </si>
  <si>
    <t>City of Elk Grove - Aff. Hsg. Funds Loan</t>
  </si>
  <si>
    <t>Fixed</t>
  </si>
  <si>
    <t>Interest Only</t>
  </si>
  <si>
    <t>Pacific West Communities, Inc. - DDF</t>
  </si>
  <si>
    <t>None</t>
  </si>
  <si>
    <t>Elk Grove Laguna Pacific Assoc - Def. Costs</t>
  </si>
  <si>
    <t>Boston Financial - LIHTC Equity</t>
  </si>
  <si>
    <t>325 E. Hillcrest Drive, Suite 160</t>
  </si>
  <si>
    <t>Thousand Oaks, CA 91360</t>
  </si>
  <si>
    <t>Mike Hemmens</t>
  </si>
  <si>
    <t>805.557.0933</t>
  </si>
  <si>
    <t>Construction Loan (T.E. Bonds)</t>
  </si>
  <si>
    <t>Construction Loan (Taxable Bonds)</t>
  </si>
  <si>
    <t>Deferred Costs</t>
  </si>
  <si>
    <t>LIHTC Equity</t>
  </si>
  <si>
    <t>Varies</t>
  </si>
  <si>
    <t>Elk Grove, CA 95758</t>
  </si>
  <si>
    <t>Sarah Bontrager</t>
  </si>
  <si>
    <t>916.627.3209</t>
  </si>
  <si>
    <t>Permanent Loan (T.E. Bonds)</t>
  </si>
  <si>
    <t>Affordable Housing Fund Loan</t>
  </si>
  <si>
    <t>Late Fees, Application Fees, Misc. Income</t>
  </si>
  <si>
    <t>Air Conditioning &amp; Infrastructure Fee</t>
  </si>
  <si>
    <t>Sacramento Housing &amp; Redevelopment Agency (SHRA)</t>
  </si>
  <si>
    <t>Telephone, Office Expenses, Misc. Admin</t>
  </si>
  <si>
    <t>Payroll Taxes, Workers Comp, Benefits</t>
  </si>
  <si>
    <t>Cleaning &amp; Building Supplies</t>
  </si>
  <si>
    <t>Licenses</t>
  </si>
  <si>
    <t xml:space="preserve">State Tax </t>
  </si>
  <si>
    <t>Annual Issuer Fees:</t>
  </si>
  <si>
    <t>Bond Counsel</t>
  </si>
  <si>
    <t>Post Construction Interest</t>
  </si>
  <si>
    <t>City of Elk Grove - Affordable Housing Fund Loan</t>
  </si>
  <si>
    <t>Licenses &amp; State Tax</t>
  </si>
  <si>
    <t>Annual Issuer Fees</t>
  </si>
  <si>
    <t>Above residual receipts line for cash flow</t>
  </si>
  <si>
    <t>City of Elk Grove - Aff. Hsg. Fund Loan</t>
  </si>
  <si>
    <t>Deputy Executive Director</t>
  </si>
  <si>
    <t>Riverside Charitable Corporation, a California Nonprofit Public Benefit Corporation</t>
  </si>
  <si>
    <t>Lender Costs (Legal, Etc.)</t>
  </si>
  <si>
    <t>Provided</t>
  </si>
  <si>
    <t>NA</t>
  </si>
  <si>
    <t>Design Review (Site Plan part of Design Review)</t>
  </si>
  <si>
    <t>Citibank - Const. Loan (T.E. Bonds)</t>
  </si>
  <si>
    <t>Citibank - Const. Loan (Taxable Bonds)</t>
  </si>
  <si>
    <t>Citibank - Perm Loan (T.E.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</si>
</sst>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5" borderId="3" xfId="0" applyFont="1" applyFill="1" applyBorder="1" applyAlignment="1" applyProtection="1">
      <alignment horizontal="center"/>
      <protection locked="0"/>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17" t="s">
        <v>583</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1"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1" thickTop="1"/>
    <row r="4" spans="1:38" s="8" customFormat="1" ht="13.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19" t="s">
        <v>1386</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ht="13.1">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ht="13.1">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19" t="s">
        <v>1390</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ht="13.1">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ht="13.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 customHeight="1">
      <c r="A14" s="327"/>
      <c r="B14" s="325"/>
      <c r="C14" s="326"/>
      <c r="E14" s="1821" t="s">
        <v>2099</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ht="13.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21" t="s">
        <v>2509</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ht="13.1">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ht="13.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ht="13.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ht="13.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ht="13.1">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ht="13.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ht="13.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 customHeight="1">
      <c r="A28" s="327"/>
      <c r="B28" s="325"/>
      <c r="C28" s="326"/>
      <c r="E28" s="1821" t="s">
        <v>2100</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ht="13.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22" t="s">
        <v>1391</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ht="13.1">
      <c r="A33" s="327"/>
      <c r="B33" s="325"/>
      <c r="C33" s="326"/>
      <c r="D33" s="744"/>
      <c r="E33" s="1828" t="s">
        <v>2482</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ht="13.1">
      <c r="A34" s="149"/>
      <c r="C34" s="5"/>
    </row>
    <row r="35" spans="1:38">
      <c r="A35" s="149"/>
      <c r="D35" s="1820" t="s">
        <v>2324</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ht="13.1">
      <c r="A37" s="149"/>
      <c r="D37" s="250"/>
      <c r="E37" s="1827" t="s">
        <v>1090</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ht="13.1">
      <c r="A38" s="149"/>
      <c r="D38" s="250"/>
      <c r="E38" s="1827" t="s">
        <v>1389</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 customHeight="1">
      <c r="A42" s="149"/>
      <c r="B42"/>
      <c r="C42" s="5"/>
      <c r="D42" s="149"/>
      <c r="E42" s="149" t="s">
        <v>690</v>
      </c>
      <c r="F42" s="1821" t="s">
        <v>1356</v>
      </c>
    </row>
    <row r="43" spans="1:38" s="1821" customFormat="1" ht="13.1" customHeight="1">
      <c r="A43" s="149"/>
      <c r="B43" s="715"/>
      <c r="C43" s="5"/>
      <c r="D43" s="149"/>
      <c r="E43" s="149"/>
    </row>
    <row r="44" spans="1:38" ht="13.1">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32" t="s">
        <v>1468</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ht="13.1">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1"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ht="13.1">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21" t="s">
        <v>1469</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ht="13.1">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ht="13.1">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725</v>
      </c>
      <c r="G56" s="1823" t="s">
        <v>1392</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1"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3" t="s">
        <v>610</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542</v>
      </c>
      <c r="G59" s="1831" t="s">
        <v>1470</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ht="13.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ht="13.1">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725</v>
      </c>
      <c r="G66" s="1821" t="s">
        <v>1358</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ht="13.1">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ht="13.1">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 customHeight="1">
      <c r="A69" s="149"/>
      <c r="C69" s="5"/>
      <c r="D69" s="149"/>
      <c r="E69" s="149"/>
      <c r="F69" s="9" t="s">
        <v>542</v>
      </c>
      <c r="G69" s="1821" t="s">
        <v>1359</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ht="13.1">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725</v>
      </c>
      <c r="G72" s="1821" t="s">
        <v>1360</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ht="13.1">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ht="13.1">
      <c r="A74" s="149"/>
      <c r="C74" s="5"/>
      <c r="D74" s="149"/>
      <c r="E74" s="149"/>
      <c r="F74" s="249" t="s">
        <v>542</v>
      </c>
      <c r="G74" s="1821" t="s">
        <v>1361</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ht="13.1">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ht="13.1">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21" t="s">
        <v>1362</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ht="13.1">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ht="13.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ht="13.1">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21" t="s">
        <v>1363</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ht="13.1">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ht="13.1">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ht="13.1">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9" t="s">
        <v>1364</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ht="13.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ht="13.1">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ht="13.1">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21" t="s">
        <v>1365</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ht="13.1">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ht="13.1">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21" t="s">
        <v>1366</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ht="13.1">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ht="13.1">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ht="13.1">
      <c r="A100" s="149"/>
      <c r="C100" s="2"/>
      <c r="D100" s="491"/>
      <c r="E100" s="1830" t="s">
        <v>1367</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ht="13.1">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1385</v>
      </c>
      <c r="F106" s="5"/>
      <c r="G106" s="5"/>
      <c r="H106" s="5"/>
      <c r="I106" s="5"/>
      <c r="J106" s="5"/>
      <c r="K106" s="5"/>
      <c r="L106" s="5"/>
      <c r="M106" s="5"/>
    </row>
    <row r="107" spans="1:38" ht="13.1">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
      <c r="F119" s="149" t="s">
        <v>1119</v>
      </c>
      <c r="G119" s="149"/>
    </row>
    <row r="120" spans="1:38" ht="13.1">
      <c r="F120" s="153" t="s">
        <v>1384</v>
      </c>
      <c r="G120" s="153"/>
    </row>
    <row r="121" spans="1:38" ht="13.1">
      <c r="G121" s="153"/>
    </row>
    <row r="122" spans="1:38">
      <c r="E122" s="149" t="s">
        <v>821</v>
      </c>
      <c r="F122" s="152" t="s">
        <v>396</v>
      </c>
    </row>
    <row r="123" spans="1:38">
      <c r="E123" s="149"/>
      <c r="F123" s="149" t="s">
        <v>1110</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999</v>
      </c>
      <c r="F127" s="149"/>
    </row>
    <row r="128" spans="1:38"/>
    <row r="129" spans="4:37" ht="13.1">
      <c r="D129" s="5" t="s">
        <v>351</v>
      </c>
      <c r="E129" s="5" t="s">
        <v>612</v>
      </c>
    </row>
    <row r="130" spans="4:37">
      <c r="E130" s="149" t="s">
        <v>999</v>
      </c>
      <c r="F130" s="149"/>
    </row>
    <row r="131" spans="4:37"/>
    <row r="132" spans="4:37" ht="13.1">
      <c r="D132" s="5" t="s">
        <v>609</v>
      </c>
      <c r="E132" s="5" t="s">
        <v>765</v>
      </c>
      <c r="G132" s="5"/>
      <c r="H132" s="5"/>
      <c r="I132" s="5"/>
      <c r="J132" s="5"/>
      <c r="K132" s="5"/>
      <c r="L132" s="5"/>
      <c r="M132" s="5"/>
      <c r="N132" s="5"/>
    </row>
    <row r="133" spans="4:37" s="715" customFormat="1" ht="13.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547</v>
      </c>
      <c r="E137" s="5" t="s">
        <v>550</v>
      </c>
      <c r="F137" s="5"/>
    </row>
    <row r="138" spans="4:37">
      <c r="E138" s="881" t="s">
        <v>1418</v>
      </c>
      <c r="F138" s="149"/>
    </row>
    <row r="139" spans="4:37">
      <c r="F139" s="149"/>
    </row>
    <row r="140" spans="4:37" ht="13.1">
      <c r="D140" s="5" t="s">
        <v>311</v>
      </c>
      <c r="E140" s="5" t="s">
        <v>978</v>
      </c>
      <c r="F140" s="5"/>
      <c r="G140" s="5"/>
      <c r="H140" s="5"/>
    </row>
    <row r="141" spans="4:37">
      <c r="E141" t="s">
        <v>117</v>
      </c>
      <c r="F141" t="s">
        <v>55</v>
      </c>
    </row>
    <row r="142" spans="4:37">
      <c r="E142" t="s">
        <v>118</v>
      </c>
      <c r="F142" t="s">
        <v>499</v>
      </c>
    </row>
    <row r="143" spans="4:37"/>
    <row r="144" spans="4:37" ht="13.1">
      <c r="D144" s="5" t="s">
        <v>450</v>
      </c>
      <c r="E144" s="5" t="s">
        <v>1001</v>
      </c>
    </row>
    <row r="145" spans="3:7">
      <c r="E145" s="327" t="s">
        <v>1002</v>
      </c>
      <c r="F145" s="327"/>
    </row>
    <row r="146" spans="3:7"/>
    <row r="147" spans="3:7" ht="13.1">
      <c r="C147" s="5" t="s">
        <v>6</v>
      </c>
      <c r="G147" s="5" t="s">
        <v>398</v>
      </c>
    </row>
    <row r="148" spans="3:7" ht="13.1">
      <c r="D148" s="183" t="s">
        <v>213</v>
      </c>
      <c r="E148" s="183" t="s">
        <v>140</v>
      </c>
    </row>
    <row r="149" spans="3:7">
      <c r="D149" s="2"/>
      <c r="E149" t="s">
        <v>855</v>
      </c>
    </row>
    <row r="150" spans="3:7">
      <c r="D150" s="2"/>
      <c r="E150" s="2"/>
    </row>
    <row r="151" spans="3:7" ht="13.1">
      <c r="D151" s="183" t="s">
        <v>351</v>
      </c>
      <c r="E151" s="183" t="s">
        <v>557</v>
      </c>
      <c r="F151" s="5"/>
    </row>
    <row r="152" spans="3:7">
      <c r="D152" s="2"/>
      <c r="E152" s="149" t="s">
        <v>1003</v>
      </c>
      <c r="F152" s="149"/>
    </row>
    <row r="153" spans="3:7">
      <c r="D153" s="2"/>
      <c r="E153" s="2"/>
    </row>
    <row r="154" spans="3:7" ht="13.1">
      <c r="D154" s="183" t="s">
        <v>609</v>
      </c>
      <c r="E154" s="183" t="s">
        <v>586</v>
      </c>
    </row>
    <row r="155" spans="3:7">
      <c r="D155" s="2"/>
      <c r="E155" s="149" t="s">
        <v>1004</v>
      </c>
    </row>
    <row r="156" spans="3:7">
      <c r="D156" s="2"/>
      <c r="E156" s="149" t="s">
        <v>1000</v>
      </c>
      <c r="G156" s="149"/>
    </row>
    <row r="157" spans="3:7">
      <c r="D157" s="2"/>
      <c r="E157" s="2"/>
    </row>
    <row r="158" spans="3:7" ht="13.1">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
      <c r="D163" s="183" t="s">
        <v>311</v>
      </c>
      <c r="E163" s="183" t="s">
        <v>399</v>
      </c>
    </row>
    <row r="164" spans="3:20">
      <c r="D164" s="2"/>
      <c r="E164" s="149" t="s">
        <v>1007</v>
      </c>
      <c r="F164" s="149"/>
    </row>
    <row r="165" spans="3:20">
      <c r="D165" s="2"/>
      <c r="E165" s="2"/>
    </row>
    <row r="166" spans="3:20" ht="13.1">
      <c r="D166" s="183" t="s">
        <v>450</v>
      </c>
      <c r="E166" s="183" t="s">
        <v>177</v>
      </c>
    </row>
    <row r="167" spans="3:20">
      <c r="D167" s="2"/>
      <c r="E167" s="149" t="s">
        <v>1009</v>
      </c>
    </row>
    <row r="168" spans="3:20">
      <c r="D168" s="2"/>
      <c r="E168" s="149" t="s">
        <v>1008</v>
      </c>
    </row>
    <row r="169" spans="3:20">
      <c r="D169" s="2"/>
      <c r="E169" s="2"/>
    </row>
    <row r="170" spans="3:20" ht="13.1">
      <c r="D170" s="183" t="s">
        <v>590</v>
      </c>
      <c r="E170" s="183" t="s">
        <v>657</v>
      </c>
    </row>
    <row r="171" spans="3:20">
      <c r="D171" s="2"/>
      <c r="E171" s="2" t="s">
        <v>117</v>
      </c>
      <c r="F171" t="s">
        <v>767</v>
      </c>
    </row>
    <row r="172" spans="3:20">
      <c r="E172" s="2" t="s">
        <v>118</v>
      </c>
      <c r="F172" t="s">
        <v>305</v>
      </c>
    </row>
    <row r="173" spans="3:20">
      <c r="F173" s="149"/>
    </row>
    <row r="174" spans="3:20" ht="13.1">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612</v>
      </c>
    </row>
    <row r="178" spans="2:19" ht="13.1">
      <c r="D178" s="5" t="s">
        <v>213</v>
      </c>
      <c r="E178" s="5" t="s">
        <v>306</v>
      </c>
      <c r="G178" s="149"/>
      <c r="H178" s="149"/>
      <c r="I178" s="149"/>
      <c r="J178" s="149"/>
      <c r="K178" s="149"/>
      <c r="L178" s="149"/>
      <c r="M178" s="149"/>
      <c r="N178" s="149"/>
    </row>
    <row r="179" spans="2:19">
      <c r="E179" t="s">
        <v>117</v>
      </c>
      <c r="F179" s="149" t="s">
        <v>1010</v>
      </c>
    </row>
    <row r="180" spans="2:19" ht="13.1">
      <c r="F180" s="184" t="s">
        <v>1336</v>
      </c>
      <c r="I180" s="184"/>
    </row>
    <row r="181" spans="2:19" ht="13.1">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
      <c r="D185" s="5" t="s">
        <v>351</v>
      </c>
      <c r="E185" s="50" t="s">
        <v>1111</v>
      </c>
    </row>
    <row r="186" spans="2:19">
      <c r="B186" s="149"/>
      <c r="C186" s="149"/>
      <c r="E186" s="149" t="s">
        <v>750</v>
      </c>
      <c r="F186" s="149"/>
      <c r="I186" s="149"/>
    </row>
    <row r="187" spans="2:19" ht="13.1">
      <c r="B187" s="149"/>
      <c r="C187" s="149"/>
      <c r="E187" s="149" t="s">
        <v>1109</v>
      </c>
      <c r="F187" s="184"/>
      <c r="G187" s="149"/>
      <c r="I187" s="184"/>
    </row>
    <row r="188" spans="2:19" ht="13.1">
      <c r="B188" s="149"/>
      <c r="C188" s="149"/>
      <c r="F188" s="184"/>
      <c r="G188" s="149"/>
      <c r="I188" s="184"/>
    </row>
    <row r="189" spans="2:19" ht="13.1">
      <c r="B189" s="149"/>
      <c r="C189" s="149"/>
      <c r="D189" s="5" t="s">
        <v>609</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547</v>
      </c>
      <c r="E192" s="5" t="s">
        <v>116</v>
      </c>
    </row>
    <row r="193" spans="2:37" ht="13.1">
      <c r="B193" s="149"/>
      <c r="C193" s="5"/>
      <c r="E193" t="s">
        <v>117</v>
      </c>
      <c r="F193" s="149" t="s">
        <v>1120</v>
      </c>
      <c r="G193" s="149"/>
      <c r="H193" s="149"/>
      <c r="I193" s="149"/>
    </row>
    <row r="194" spans="2:37" ht="13.1">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1013</v>
      </c>
      <c r="M202" s="149"/>
      <c r="N202" s="149"/>
      <c r="O202" s="149"/>
      <c r="P202" s="149"/>
      <c r="Q202" s="149"/>
      <c r="R202" s="149"/>
      <c r="S202" s="149"/>
    </row>
    <row r="203" spans="2:37" ht="13.1">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616</v>
      </c>
      <c r="F206" s="149" t="s">
        <v>1015</v>
      </c>
      <c r="M206" s="149"/>
      <c r="N206" s="149"/>
      <c r="O206" s="149"/>
      <c r="P206" s="149"/>
      <c r="Q206" s="149"/>
      <c r="R206" s="149"/>
      <c r="S206" s="149"/>
    </row>
    <row r="207" spans="2:37" ht="13.1">
      <c r="B207" s="149"/>
      <c r="C207" s="149"/>
      <c r="D207" s="5"/>
      <c r="F207" t="s">
        <v>690</v>
      </c>
      <c r="G207" s="1821" t="s">
        <v>1368</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ht="13.1">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ht="13.1">
      <c r="B209" s="149"/>
      <c r="C209" s="149"/>
      <c r="D209" s="5"/>
      <c r="M209" s="149"/>
      <c r="N209" s="149"/>
      <c r="O209" s="149"/>
      <c r="P209" s="149"/>
      <c r="Q209" s="149"/>
      <c r="R209" s="149"/>
      <c r="S209" s="149"/>
    </row>
    <row r="210" spans="1:38" ht="13.1">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483</v>
      </c>
      <c r="I225" s="149"/>
      <c r="J225" s="149"/>
      <c r="K225" s="149"/>
      <c r="M225" s="149"/>
      <c r="N225" s="149"/>
      <c r="O225" s="149"/>
      <c r="P225" s="149"/>
      <c r="Q225" s="149"/>
      <c r="R225" s="149"/>
      <c r="S225" s="149"/>
    </row>
    <row r="226" spans="2:19" ht="13.1">
      <c r="B226" s="5"/>
      <c r="E226" s="149" t="s">
        <v>117</v>
      </c>
      <c r="F226" s="149" t="s">
        <v>757</v>
      </c>
      <c r="G226" s="149"/>
      <c r="I226" s="149"/>
      <c r="J226" s="149"/>
      <c r="K226" s="149"/>
      <c r="L226" s="149"/>
      <c r="M226" s="149"/>
      <c r="N226" s="149"/>
      <c r="O226" s="149"/>
      <c r="P226" s="149"/>
      <c r="Q226" s="149"/>
      <c r="R226" s="149"/>
      <c r="S226" s="149"/>
    </row>
    <row r="227" spans="2:19" ht="13.1">
      <c r="B227" s="5"/>
      <c r="E227" s="149" t="s">
        <v>118</v>
      </c>
      <c r="F227" s="149" t="s">
        <v>717</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758</v>
      </c>
      <c r="G230" s="149"/>
      <c r="I230" s="149"/>
      <c r="J230" s="149"/>
      <c r="K230" s="149"/>
      <c r="L230" s="149"/>
      <c r="M230" s="149"/>
      <c r="N230" s="149"/>
      <c r="O230" s="149"/>
      <c r="P230" s="149"/>
      <c r="Q230" s="149"/>
      <c r="R230" s="149"/>
      <c r="S230" s="149"/>
    </row>
    <row r="231" spans="2:19" ht="13.1">
      <c r="B231" s="5"/>
      <c r="E231" s="149"/>
      <c r="F231" s="149" t="s">
        <v>759</v>
      </c>
      <c r="G231" s="149"/>
      <c r="H231" s="149"/>
      <c r="I231" s="149"/>
      <c r="J231" s="149"/>
      <c r="K231" s="149"/>
      <c r="L231" s="149"/>
      <c r="M231" s="149"/>
      <c r="N231" s="149"/>
      <c r="O231" s="149"/>
      <c r="P231" s="149"/>
      <c r="Q231" s="149"/>
      <c r="R231" s="149"/>
      <c r="S231" s="149"/>
    </row>
    <row r="232" spans="2:19" ht="13.1">
      <c r="B232" s="5"/>
      <c r="D232" s="149"/>
      <c r="E232" s="149" t="s">
        <v>118</v>
      </c>
      <c r="F232" s="149" t="s">
        <v>717</v>
      </c>
      <c r="G232" s="149"/>
      <c r="I232" s="149"/>
      <c r="J232" s="149"/>
      <c r="K232" s="149"/>
      <c r="L232" s="149"/>
      <c r="M232" s="149"/>
      <c r="N232" s="149"/>
      <c r="O232" s="149"/>
      <c r="P232" s="149"/>
      <c r="Q232" s="149"/>
      <c r="R232" s="149"/>
      <c r="S232" s="149"/>
    </row>
    <row r="233" spans="2:19" ht="13.1">
      <c r="B233" s="5"/>
      <c r="E233" s="149" t="s">
        <v>124</v>
      </c>
      <c r="F233" s="152" t="s">
        <v>1030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690</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1337</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1016</v>
      </c>
      <c r="I254" s="149"/>
      <c r="J254" s="149"/>
      <c r="K254" s="149"/>
      <c r="L254" s="149"/>
      <c r="M254" s="149"/>
      <c r="N254" s="149"/>
      <c r="O254" s="149"/>
      <c r="P254" s="149"/>
      <c r="Q254" s="149"/>
      <c r="R254" s="149"/>
      <c r="S254" s="149"/>
      <c r="T254" s="149"/>
      <c r="U254" s="149"/>
    </row>
    <row r="255" spans="2:21" ht="13.1">
      <c r="B255" s="5"/>
      <c r="C255" s="5"/>
      <c r="E255" s="149"/>
      <c r="F255" s="327" t="s">
        <v>690</v>
      </c>
      <c r="G255" s="327" t="s">
        <v>871</v>
      </c>
      <c r="I255" s="6"/>
      <c r="K255" s="155"/>
      <c r="L255" s="155"/>
      <c r="M255" s="155"/>
      <c r="N255" s="155"/>
      <c r="O255" s="155"/>
      <c r="P255" s="1"/>
      <c r="Q255" s="149"/>
      <c r="R255" s="149"/>
      <c r="S255" s="149"/>
      <c r="T255" s="149"/>
      <c r="U255" s="149"/>
    </row>
    <row r="256" spans="2:21" ht="13.1">
      <c r="B256" s="5"/>
      <c r="C256" s="5"/>
      <c r="E256" s="149"/>
      <c r="F256" s="325"/>
      <c r="G256" s="327" t="s">
        <v>872</v>
      </c>
      <c r="I256" s="6"/>
      <c r="K256" s="155"/>
      <c r="L256" s="155"/>
      <c r="M256" s="155"/>
      <c r="N256" s="155"/>
      <c r="O256" s="155"/>
      <c r="P256" s="155"/>
    </row>
    <row r="257" spans="2:21" ht="13.1">
      <c r="B257" s="5"/>
      <c r="C257" s="5"/>
      <c r="E257" s="149"/>
      <c r="F257" s="325" t="s">
        <v>358</v>
      </c>
      <c r="G257" s="327" t="s">
        <v>1022</v>
      </c>
      <c r="I257" s="149"/>
      <c r="K257" s="149"/>
      <c r="L257" s="149"/>
      <c r="M257" s="149"/>
      <c r="N257" s="149"/>
      <c r="O257" s="149"/>
      <c r="P257" s="155"/>
      <c r="Q257" s="1"/>
      <c r="R257" s="1"/>
      <c r="S257" s="1"/>
      <c r="T257" s="1"/>
      <c r="U257" s="1"/>
    </row>
    <row r="258" spans="2:21" ht="13.1">
      <c r="B258" s="5"/>
      <c r="C258" s="5"/>
      <c r="E258" s="149"/>
      <c r="F258" s="325"/>
      <c r="G258" s="327" t="s">
        <v>933</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862</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863</v>
      </c>
      <c r="I264" s="149"/>
      <c r="J264" s="149"/>
      <c r="K264" s="149"/>
      <c r="L264" s="149"/>
      <c r="M264" s="149"/>
      <c r="N264" s="149"/>
      <c r="O264" s="149"/>
      <c r="P264" s="149"/>
      <c r="Q264" s="149"/>
      <c r="R264" s="149"/>
      <c r="S264" s="149"/>
    </row>
    <row r="265" spans="2:21" ht="13.1">
      <c r="B265" s="5"/>
      <c r="C265" s="5"/>
      <c r="E265" s="149" t="s">
        <v>616</v>
      </c>
      <c r="F265" s="327" t="s">
        <v>873</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609</v>
      </c>
      <c r="E270" s="5" t="s">
        <v>295</v>
      </c>
      <c r="G270" s="149"/>
    </row>
    <row r="271" spans="2:21" ht="13.1">
      <c r="B271" s="5"/>
      <c r="C271" s="5"/>
      <c r="E271" s="149" t="s">
        <v>261</v>
      </c>
      <c r="F271" s="149"/>
      <c r="G271" s="149"/>
      <c r="J271" s="149"/>
      <c r="K271" s="149"/>
      <c r="L271" s="149"/>
      <c r="M271" s="149"/>
      <c r="N271" s="149"/>
    </row>
    <row r="272" spans="2:21" ht="13.1">
      <c r="B272" s="5"/>
      <c r="C272" s="5"/>
      <c r="E272" s="149" t="s">
        <v>1023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547</v>
      </c>
      <c r="E274" s="5" t="s">
        <v>647</v>
      </c>
      <c r="G274" s="149"/>
      <c r="H274" s="149"/>
      <c r="J274" s="149"/>
      <c r="K274" s="149"/>
      <c r="L274" s="149"/>
      <c r="M274" s="149"/>
      <c r="N274" s="149"/>
      <c r="O274" s="149"/>
      <c r="P274" s="149"/>
      <c r="Q274" s="149"/>
      <c r="R274" s="149"/>
      <c r="S274" s="149"/>
      <c r="T274" s="149"/>
      <c r="U274" s="149"/>
    </row>
    <row r="275" spans="2:21" ht="13.1">
      <c r="B275" s="5"/>
      <c r="D275" s="149"/>
      <c r="E275" s="149" t="s">
        <v>1114</v>
      </c>
      <c r="J275" s="149"/>
      <c r="K275" s="149"/>
      <c r="L275" s="149"/>
      <c r="M275" s="149"/>
      <c r="N275" s="149"/>
      <c r="O275" s="149"/>
      <c r="P275" s="149"/>
      <c r="Q275" s="149"/>
      <c r="R275" s="149"/>
      <c r="S275" s="149"/>
      <c r="T275" s="149"/>
      <c r="U275" s="149"/>
    </row>
    <row r="276" spans="2:21" ht="13.1">
      <c r="B276" s="5"/>
      <c r="D276" s="149"/>
      <c r="E276" s="149" t="s">
        <v>1017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1025</v>
      </c>
      <c r="F285" s="184"/>
      <c r="G285" s="149"/>
      <c r="H285" s="184"/>
      <c r="I285" s="184"/>
      <c r="J285" s="149"/>
      <c r="K285" s="149"/>
      <c r="L285" s="149"/>
      <c r="M285" s="149"/>
      <c r="P285" s="149"/>
      <c r="Q285" s="149"/>
      <c r="R285" s="149"/>
      <c r="S285" s="149"/>
    </row>
    <row r="286" spans="2:21" ht="13.1">
      <c r="B286" s="5"/>
      <c r="D286" s="5"/>
      <c r="E286" s="735" t="s">
        <v>932</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590</v>
      </c>
      <c r="E288" s="5" t="s">
        <v>591</v>
      </c>
      <c r="K288" s="149"/>
      <c r="L288" s="149"/>
      <c r="M288" s="149"/>
      <c r="N288" s="149"/>
    </row>
    <row r="289" spans="2:38" ht="13.1">
      <c r="B289" s="5"/>
      <c r="D289" s="149"/>
      <c r="E289" s="149" t="s">
        <v>117</v>
      </c>
      <c r="F289" s="149" t="s">
        <v>592</v>
      </c>
      <c r="G289" s="149"/>
      <c r="O289" s="149"/>
      <c r="P289" s="149"/>
      <c r="Q289" s="149"/>
      <c r="R289" s="149"/>
      <c r="S289" s="149"/>
      <c r="T289" s="149"/>
      <c r="U289" s="149"/>
      <c r="V289" s="149"/>
      <c r="W289" s="149"/>
    </row>
    <row r="290" spans="2:38" ht="13.1">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593</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1026</v>
      </c>
      <c r="F306" s="149"/>
      <c r="K306" s="149"/>
      <c r="L306" s="149"/>
      <c r="M306" s="149"/>
      <c r="N306" s="149"/>
      <c r="O306" s="149"/>
      <c r="P306" s="149"/>
      <c r="Q306" s="149"/>
      <c r="R306" s="149"/>
      <c r="S306" s="149"/>
      <c r="T306" s="149"/>
      <c r="U306" s="149"/>
      <c r="V306" s="149"/>
      <c r="W306" s="149"/>
    </row>
    <row r="307" spans="2:23" ht="13.1">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649</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857</v>
      </c>
      <c r="F312" s="149"/>
      <c r="G312" s="149"/>
      <c r="I312" s="149"/>
      <c r="K312" s="149"/>
    </row>
    <row r="313" spans="2:23" ht="13.1">
      <c r="B313" s="5"/>
      <c r="D313" s="5"/>
      <c r="E313" s="149" t="s">
        <v>1027</v>
      </c>
      <c r="F313" s="149"/>
      <c r="G313" s="149"/>
      <c r="I313" s="149"/>
      <c r="K313" s="149"/>
    </row>
    <row r="314" spans="2:23" ht="13.1">
      <c r="B314" s="5"/>
      <c r="D314" s="5"/>
      <c r="E314" s="149" t="s">
        <v>858</v>
      </c>
      <c r="F314" s="149"/>
      <c r="G314" s="149"/>
      <c r="I314" s="149"/>
      <c r="K314" s="149"/>
    </row>
    <row r="315" spans="2:23" ht="13.1">
      <c r="B315" s="5"/>
      <c r="D315" s="5"/>
      <c r="G315" s="149"/>
      <c r="I315" s="149"/>
      <c r="K315" s="149"/>
    </row>
    <row r="316" spans="2:23" ht="13.1">
      <c r="B316" s="5"/>
      <c r="D316" s="5" t="s">
        <v>351</v>
      </c>
      <c r="E316" s="5" t="s">
        <v>792</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609</v>
      </c>
      <c r="E319" s="252" t="s">
        <v>776</v>
      </c>
      <c r="F319" s="22"/>
      <c r="G319" s="149"/>
      <c r="H319" s="149"/>
      <c r="I319" s="149"/>
      <c r="J319" s="149"/>
      <c r="K319" s="149"/>
      <c r="L319" s="149"/>
      <c r="M319" s="149"/>
      <c r="N319" s="149"/>
      <c r="O319" s="149"/>
      <c r="P319" s="149"/>
      <c r="Q319" s="149"/>
      <c r="R319" s="149"/>
      <c r="S319" s="149"/>
    </row>
    <row r="320" spans="2:23" ht="13.1">
      <c r="B320" s="5"/>
      <c r="E320" t="s">
        <v>773</v>
      </c>
      <c r="I320" s="149"/>
      <c r="J320" s="149"/>
      <c r="K320" s="149"/>
      <c r="L320" s="149"/>
      <c r="M320" s="149"/>
      <c r="N320" s="149"/>
      <c r="O320" s="149"/>
      <c r="P320" s="149"/>
      <c r="Q320" s="149"/>
      <c r="R320" s="149"/>
      <c r="S320" s="149"/>
    </row>
    <row r="321" spans="1:38" ht="13.1">
      <c r="B321" s="5"/>
      <c r="E321" t="s">
        <v>774</v>
      </c>
      <c r="I321" s="149"/>
      <c r="J321" s="149"/>
      <c r="K321" s="149"/>
      <c r="L321" s="149"/>
      <c r="M321" s="149"/>
      <c r="N321" s="149"/>
      <c r="O321" s="149"/>
      <c r="P321" s="149"/>
      <c r="Q321" s="149"/>
      <c r="R321" s="149"/>
      <c r="S321" s="149"/>
    </row>
    <row r="322" spans="1:38" ht="13.1">
      <c r="B322" s="5"/>
      <c r="E322" t="s">
        <v>775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650</v>
      </c>
      <c r="I324" s="149"/>
      <c r="J324" s="149"/>
      <c r="K324" s="149"/>
      <c r="L324" s="149"/>
      <c r="M324" s="149"/>
      <c r="N324" s="149"/>
      <c r="O324" s="149"/>
      <c r="P324" s="149"/>
      <c r="Q324" s="149"/>
      <c r="R324" s="149"/>
      <c r="S324" s="149"/>
    </row>
    <row r="325" spans="1:38" ht="13.1">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
      <c r="F328" s="184" t="s">
        <v>1339</v>
      </c>
      <c r="I328" s="184"/>
      <c r="J328" s="149"/>
      <c r="K328" s="149"/>
      <c r="L328" s="149"/>
      <c r="M328" s="149"/>
      <c r="N328" s="149"/>
      <c r="O328" s="149"/>
      <c r="P328" s="149"/>
      <c r="Q328" s="149"/>
      <c r="R328" s="149"/>
      <c r="S328" s="149"/>
    </row>
    <row r="329" spans="1:38" ht="13.1">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780</v>
      </c>
      <c r="J335" s="149"/>
      <c r="K335" s="149"/>
      <c r="L335" s="149"/>
      <c r="M335" s="149"/>
      <c r="N335" s="149"/>
      <c r="O335" s="149"/>
      <c r="P335" s="149"/>
      <c r="Q335" s="149"/>
      <c r="R335" s="149"/>
      <c r="S335" s="149"/>
    </row>
    <row r="336" spans="1:38" ht="13.1">
      <c r="B336" s="5"/>
      <c r="E336" s="149"/>
      <c r="F336" s="149" t="s">
        <v>781</v>
      </c>
      <c r="J336" s="149"/>
      <c r="K336" s="149"/>
      <c r="L336" s="149"/>
      <c r="M336" s="149"/>
      <c r="N336" s="149"/>
      <c r="O336" s="149"/>
      <c r="P336" s="149"/>
      <c r="Q336" s="149"/>
      <c r="R336" s="149"/>
      <c r="S336" s="149"/>
    </row>
    <row r="337" spans="2:37" ht="13.1">
      <c r="B337" s="5"/>
      <c r="E337" s="149"/>
      <c r="F337" s="149" t="s">
        <v>782</v>
      </c>
      <c r="I337" s="149"/>
      <c r="J337" s="149"/>
      <c r="K337" s="149"/>
      <c r="L337" s="149"/>
      <c r="M337" s="149"/>
      <c r="N337" s="149"/>
      <c r="O337" s="149"/>
      <c r="P337" s="149"/>
      <c r="Q337" s="149"/>
      <c r="R337" s="149"/>
      <c r="S337" s="149"/>
    </row>
    <row r="338" spans="2:37" ht="13.1">
      <c r="B338" s="5"/>
      <c r="E338" s="149" t="s">
        <v>118</v>
      </c>
      <c r="F338" s="1821" t="s">
        <v>1343</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ht="13.1">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ht="13.1">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1438</v>
      </c>
      <c r="I342" s="183"/>
      <c r="J342" s="149"/>
      <c r="K342" s="149"/>
      <c r="L342" s="149"/>
      <c r="M342" s="149"/>
      <c r="N342" s="149"/>
      <c r="O342" s="149"/>
      <c r="P342" s="149"/>
      <c r="Q342" s="149"/>
      <c r="R342" s="149"/>
      <c r="S342" s="149"/>
    </row>
    <row r="343" spans="2:37" s="715" customFormat="1" ht="13.1" customHeight="1">
      <c r="B343" s="5"/>
      <c r="E343" s="1823" t="s">
        <v>1445</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ht="13.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ht="13.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ht="13.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ht="13.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ht="13.1">
      <c r="B348" s="5"/>
      <c r="E348" s="6" t="s">
        <v>117</v>
      </c>
      <c r="F348" s="1821" t="s">
        <v>1447</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ht="13.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ht="13.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ht="13.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ht="13.1">
      <c r="B352" s="5"/>
      <c r="E352" s="6" t="s">
        <v>118</v>
      </c>
      <c r="F352" s="1821" t="s">
        <v>1446</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ht="13.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ht="13.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784</v>
      </c>
      <c r="I361" s="149"/>
      <c r="J361" s="149"/>
      <c r="K361" s="149"/>
      <c r="L361" s="149"/>
      <c r="M361" s="149"/>
      <c r="N361" s="149"/>
      <c r="O361" s="149"/>
      <c r="P361" s="149"/>
      <c r="Q361" s="149"/>
      <c r="R361" s="149"/>
      <c r="S361" s="149"/>
    </row>
    <row r="362" spans="1:38" ht="13.1">
      <c r="B362" s="5"/>
      <c r="F362" s="149" t="s">
        <v>785</v>
      </c>
      <c r="I362" s="149"/>
      <c r="J362" s="149"/>
      <c r="K362" s="149"/>
      <c r="L362" s="149"/>
      <c r="M362" s="149"/>
      <c r="N362" s="149"/>
      <c r="O362" s="149"/>
      <c r="P362" s="149"/>
      <c r="Q362" s="149"/>
      <c r="R362" s="149"/>
      <c r="S362" s="149"/>
    </row>
    <row r="363" spans="1:38" ht="13.1">
      <c r="B363" s="5"/>
      <c r="F363" s="149" t="s">
        <v>935</v>
      </c>
      <c r="G363" s="149"/>
      <c r="K363" s="149"/>
      <c r="L363" s="149"/>
      <c r="M363" s="149"/>
      <c r="N363" s="149"/>
      <c r="O363" s="149"/>
      <c r="P363" s="149"/>
      <c r="Q363" s="149"/>
      <c r="R363" s="149"/>
      <c r="S363" s="149"/>
    </row>
    <row r="364" spans="1:38" ht="13.1">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786</v>
      </c>
      <c r="I365" s="149"/>
      <c r="J365" s="149"/>
      <c r="K365" s="149"/>
      <c r="L365" s="149"/>
      <c r="M365" s="149"/>
      <c r="N365" s="149"/>
      <c r="O365" s="149"/>
      <c r="P365" s="149"/>
      <c r="Q365" s="149"/>
      <c r="R365" s="149"/>
      <c r="S365" s="149"/>
    </row>
    <row r="366" spans="1:38" ht="13.1">
      <c r="B366" s="5"/>
      <c r="F366" s="149" t="s">
        <v>787</v>
      </c>
      <c r="J366" s="149"/>
      <c r="K366" s="149"/>
      <c r="L366" s="149"/>
      <c r="M366" s="149"/>
      <c r="N366" s="149"/>
      <c r="O366" s="149"/>
      <c r="P366" s="149"/>
      <c r="Q366" s="149"/>
      <c r="R366" s="149"/>
      <c r="S366" s="149"/>
    </row>
    <row r="367" spans="1:38" s="715" customFormat="1" ht="13.1">
      <c r="B367" s="5"/>
      <c r="E367" s="1824" t="s">
        <v>1436</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ht="13.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ht="13.1">
      <c r="A369"/>
      <c r="B369" s="5"/>
      <c r="C369"/>
      <c r="D369"/>
      <c r="E369" s="1825" t="s">
        <v>1484</v>
      </c>
    </row>
    <row r="370" spans="1:38" s="1826"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609</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1341</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22" t="s">
        <v>1496</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ht="13.1">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ht="13.1">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K14" sqref="K14"/>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63" t="s">
        <v>1870</v>
      </c>
      <c r="B1" s="3263"/>
      <c r="C1" s="3263"/>
      <c r="D1" s="3263"/>
      <c r="E1" s="3263"/>
      <c r="F1" s="3263"/>
      <c r="G1" s="3263"/>
      <c r="H1" s="3263"/>
      <c r="I1" s="3263"/>
    </row>
    <row r="2" spans="1:11">
      <c r="A2" s="1332"/>
      <c r="B2" s="1332"/>
      <c r="E2" s="1333"/>
      <c r="I2" s="1335"/>
      <c r="K2" s="1336"/>
    </row>
    <row r="3" spans="1:11">
      <c r="A3" s="1337" t="s">
        <v>1577</v>
      </c>
      <c r="B3" s="1337"/>
      <c r="C3" s="1330" t="s">
        <v>2110</v>
      </c>
      <c r="E3" s="1722">
        <f>ROUND(Application!AM564+'Basis &amp; Credits'!AB77,0)</f>
        <v>87080000</v>
      </c>
      <c r="F3" s="1338"/>
      <c r="K3" s="1409"/>
    </row>
    <row r="4" spans="1:11" s="1339" customFormat="1" ht="15" customHeight="1">
      <c r="C4" s="1339" t="s">
        <v>1871</v>
      </c>
      <c r="E4" s="1415">
        <f>Application!AD1037</f>
        <v>-2.0618556701030928E-3</v>
      </c>
      <c r="F4" s="1340"/>
      <c r="H4" s="1341"/>
      <c r="K4" s="1536"/>
    </row>
    <row r="5" spans="1:11" s="1342" customFormat="1" ht="15" customHeight="1">
      <c r="A5" s="3264"/>
      <c r="B5" s="3264"/>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69843546.391752571</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50</v>
      </c>
      <c r="G11" s="1357">
        <v>0.9</v>
      </c>
      <c r="H11" s="1358"/>
      <c r="I11" s="1359">
        <f>E11*G11</f>
        <v>45</v>
      </c>
      <c r="J11" s="1350"/>
      <c r="K11" s="1354"/>
    </row>
    <row r="12" spans="1:11">
      <c r="A12" s="1332"/>
      <c r="B12" s="1332"/>
      <c r="C12" s="1350" t="s">
        <v>1879</v>
      </c>
      <c r="D12" s="1350"/>
      <c r="E12" s="1410">
        <f>Application!BS635+Application!BS644+Application!CX658</f>
        <v>93</v>
      </c>
      <c r="G12" s="1357">
        <v>1</v>
      </c>
      <c r="H12" s="1358"/>
      <c r="I12" s="1359">
        <f>E12*G12</f>
        <v>93</v>
      </c>
      <c r="J12" s="1350"/>
    </row>
    <row r="13" spans="1:11">
      <c r="A13" s="1332"/>
      <c r="B13" s="1332"/>
      <c r="C13" s="1350" t="s">
        <v>1880</v>
      </c>
      <c r="D13" s="1350"/>
      <c r="E13" s="1410">
        <f>Application!BX635+Application!BX644+Application!DC658</f>
        <v>76</v>
      </c>
      <c r="G13" s="1357">
        <v>1.25</v>
      </c>
      <c r="H13" s="1358"/>
      <c r="I13" s="1359">
        <f>E13*G13</f>
        <v>95</v>
      </c>
      <c r="J13" s="1350"/>
    </row>
    <row r="14" spans="1:11">
      <c r="A14" s="1332"/>
      <c r="B14" s="1332"/>
      <c r="C14" s="1350" t="s">
        <v>1881</v>
      </c>
      <c r="D14" s="1350"/>
      <c r="E14" s="1410">
        <f>Application!CC635+Application!CC644+Application!DH658</f>
        <v>75</v>
      </c>
      <c r="G14" s="1357">
        <f>1.5+0.25*0</f>
        <v>1.5</v>
      </c>
      <c r="H14" s="1358"/>
      <c r="I14" s="1359">
        <f>IF(E14/E16&lt;=30%,E14*G14,TRUNC(0.3*E16)*G14+(E14-TRUNC(0.3*E16))*G13)</f>
        <v>112.5</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294</v>
      </c>
      <c r="G16" s="1333"/>
      <c r="I16" s="1414">
        <f>SUM(I11:I15)</f>
        <v>345.5</v>
      </c>
    </row>
    <row r="17" spans="1:9">
      <c r="A17" s="1332"/>
      <c r="B17" s="1332"/>
      <c r="E17" s="1333"/>
      <c r="I17" s="1361"/>
    </row>
    <row r="18" spans="1:9">
      <c r="A18" s="1337" t="s">
        <v>1582</v>
      </c>
      <c r="B18" s="1337"/>
      <c r="C18" s="1362" t="s">
        <v>1883</v>
      </c>
      <c r="D18" s="1334"/>
      <c r="E18" s="1363">
        <f>E7/I16</f>
        <v>202152.08796455158</v>
      </c>
      <c r="F18" s="1364"/>
      <c r="G18" s="1365"/>
      <c r="H18" s="1366"/>
      <c r="I18" s="1361"/>
    </row>
    <row r="21" spans="1:9" ht="14.25" customHeight="1">
      <c r="A21" s="3265" t="s">
        <v>2479</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5" spans="1:9" ht="20.149999999999999"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M74" sqref="AM74"/>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22" t="s">
        <v>1514</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23"/>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297" t="str">
        <f xml:space="preserve"> IF(T25=100%,'Sources and Basis Breakdown'!G2,'Sources and Basis Breakdown'!F2)</f>
        <v>30% PVC for New Const/
Rehabilitation
DDA/QCT
Building(s)</v>
      </c>
      <c r="U7" s="3297"/>
      <c r="V7" s="3297"/>
      <c r="W7" s="3297"/>
      <c r="X7" s="3297"/>
      <c r="Y7" s="3297" t="str">
        <f>IF(T25=100%," ",'Sources and Basis Breakdown'!G2)</f>
        <v>30% PVC for New Const/
Rehabilitation
NON-DDA/
NON-QCT Building(s)</v>
      </c>
      <c r="Z7" s="3297"/>
      <c r="AA7" s="3297"/>
      <c r="AB7" s="3297"/>
      <c r="AC7" s="3297"/>
      <c r="AD7" s="3297" t="str">
        <f xml:space="preserve"> IF(T25=100%, 'Sources and Basis Breakdown'!J2,'Sources and Basis Breakdown'!I2)</f>
        <v>30% PVC for Acquisition
DDA/QCT Building(s)</v>
      </c>
      <c r="AE7" s="3297"/>
      <c r="AF7" s="3297"/>
      <c r="AG7" s="3297"/>
      <c r="AH7" s="3297"/>
      <c r="AI7" s="3297" t="str">
        <f>IF(T25=100%," ",'Sources and Basis Breakdown'!J2)</f>
        <v>30% PVC for Acquisition
NON-DDA/
NON-QCT Building(s)</v>
      </c>
      <c r="AJ7" s="3297"/>
      <c r="AK7" s="3297"/>
      <c r="AL7" s="3297"/>
      <c r="AM7" s="3297"/>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7"/>
      <c r="U8" s="3297"/>
      <c r="V8" s="3297"/>
      <c r="W8" s="3297"/>
      <c r="X8" s="3297"/>
      <c r="Y8" s="3297"/>
      <c r="Z8" s="3297"/>
      <c r="AA8" s="3297"/>
      <c r="AB8" s="3297"/>
      <c r="AC8" s="3297"/>
      <c r="AD8" s="3297"/>
      <c r="AE8" s="3297"/>
      <c r="AF8" s="3297"/>
      <c r="AG8" s="3297"/>
      <c r="AH8" s="3297"/>
      <c r="AI8" s="3297"/>
      <c r="AJ8" s="3297"/>
      <c r="AK8" s="3297"/>
      <c r="AL8" s="3297"/>
      <c r="AM8" s="3297"/>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297"/>
      <c r="U9" s="3297"/>
      <c r="V9" s="3297"/>
      <c r="W9" s="3297"/>
      <c r="X9" s="3297"/>
      <c r="Y9" s="3297"/>
      <c r="Z9" s="3297"/>
      <c r="AA9" s="3297"/>
      <c r="AB9" s="3297"/>
      <c r="AC9" s="3297"/>
      <c r="AD9" s="3297"/>
      <c r="AE9" s="3297"/>
      <c r="AF9" s="3297"/>
      <c r="AG9" s="3297"/>
      <c r="AH9" s="3297"/>
      <c r="AI9" s="3297"/>
      <c r="AJ9" s="3297"/>
      <c r="AK9" s="3297"/>
      <c r="AL9" s="3297"/>
      <c r="AM9" s="3297"/>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79" t="s">
        <v>393</v>
      </c>
      <c r="C11" s="3280"/>
      <c r="D11" s="3280"/>
      <c r="E11" s="3280"/>
      <c r="F11" s="3280"/>
      <c r="G11" s="3280"/>
      <c r="H11" s="3280"/>
      <c r="I11" s="3280"/>
      <c r="J11" s="3280"/>
      <c r="K11" s="3280"/>
      <c r="L11" s="3280"/>
      <c r="M11" s="3280"/>
      <c r="N11" s="3280"/>
      <c r="O11" s="3280"/>
      <c r="P11" s="3280"/>
      <c r="Q11" s="3280"/>
      <c r="R11" s="3280"/>
      <c r="S11" s="3281"/>
      <c r="T11" s="3324">
        <f>IF('Sources and Basis Breakdown'!F107=0,'Sources and Basis Breakdown'!E107,'Sources and Basis Breakdown'!F107)</f>
        <v>105976458</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28" t="s">
        <v>530</v>
      </c>
      <c r="C12" s="3329"/>
      <c r="D12" s="3329"/>
      <c r="E12" s="3329"/>
      <c r="F12" s="3329"/>
      <c r="G12" s="3329"/>
      <c r="H12" s="3329"/>
      <c r="I12" s="3329"/>
      <c r="J12" s="3329"/>
      <c r="K12" s="3329"/>
      <c r="L12" s="3329"/>
      <c r="M12" s="3329"/>
      <c r="N12" s="3329"/>
      <c r="O12" s="3329"/>
      <c r="P12" s="3329"/>
      <c r="Q12" s="3329"/>
      <c r="R12" s="3329"/>
      <c r="S12" s="3330"/>
      <c r="T12" s="3317"/>
      <c r="U12" s="3318"/>
      <c r="V12" s="3318"/>
      <c r="W12" s="3318"/>
      <c r="X12" s="3319"/>
      <c r="Y12" s="3317"/>
      <c r="Z12" s="3318"/>
      <c r="AA12" s="3318"/>
      <c r="AB12" s="3318"/>
      <c r="AC12" s="3319"/>
      <c r="AD12" s="3317"/>
      <c r="AE12" s="3318"/>
      <c r="AF12" s="3318"/>
      <c r="AG12" s="3318"/>
      <c r="AH12" s="3319"/>
      <c r="AI12" s="3317"/>
      <c r="AJ12" s="3318"/>
      <c r="AK12" s="3318"/>
      <c r="AL12" s="3318"/>
      <c r="AM12" s="331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31" t="s">
        <v>531</v>
      </c>
      <c r="D13" s="3331"/>
      <c r="E13" s="3331"/>
      <c r="F13" s="3331"/>
      <c r="G13" s="3331"/>
      <c r="H13" s="3331"/>
      <c r="I13" s="3331"/>
      <c r="J13" s="3331"/>
      <c r="K13" s="3331"/>
      <c r="L13" s="3331"/>
      <c r="M13" s="3331"/>
      <c r="N13" s="3331"/>
      <c r="O13" s="3331"/>
      <c r="P13" s="3331"/>
      <c r="Q13" s="3331"/>
      <c r="R13" s="3331"/>
      <c r="S13" s="3332"/>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31" t="s">
        <v>532</v>
      </c>
      <c r="D14" s="3331"/>
      <c r="E14" s="3331"/>
      <c r="F14" s="3331"/>
      <c r="G14" s="3331"/>
      <c r="H14" s="3331"/>
      <c r="I14" s="3331"/>
      <c r="J14" s="3331"/>
      <c r="K14" s="3331"/>
      <c r="L14" s="3331"/>
      <c r="M14" s="3331"/>
      <c r="N14" s="3331"/>
      <c r="O14" s="3331"/>
      <c r="P14" s="3331"/>
      <c r="Q14" s="3331"/>
      <c r="R14" s="3331"/>
      <c r="S14" s="3332"/>
      <c r="T14" s="3306"/>
      <c r="U14" s="3307"/>
      <c r="V14" s="3307"/>
      <c r="W14" s="3307"/>
      <c r="X14" s="3307"/>
      <c r="Y14" s="3306"/>
      <c r="Z14" s="3307"/>
      <c r="AA14" s="3307"/>
      <c r="AB14" s="3307"/>
      <c r="AC14" s="3307"/>
      <c r="AD14" s="3307"/>
      <c r="AE14" s="3307"/>
      <c r="AF14" s="3307"/>
      <c r="AG14" s="3307"/>
      <c r="AH14" s="3307"/>
      <c r="AI14" s="3307"/>
      <c r="AJ14" s="3307"/>
      <c r="AK14" s="3307"/>
      <c r="AL14" s="3307"/>
      <c r="AM14" s="3307"/>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31" t="s">
        <v>533</v>
      </c>
      <c r="D15" s="3331"/>
      <c r="E15" s="3331"/>
      <c r="F15" s="3331"/>
      <c r="G15" s="3331"/>
      <c r="H15" s="3331"/>
      <c r="I15" s="3331"/>
      <c r="J15" s="3331"/>
      <c r="K15" s="3331"/>
      <c r="L15" s="3331"/>
      <c r="M15" s="3331"/>
      <c r="N15" s="3331"/>
      <c r="O15" s="3331"/>
      <c r="P15" s="3331"/>
      <c r="Q15" s="3331"/>
      <c r="R15" s="3331"/>
      <c r="S15" s="3332"/>
      <c r="T15" s="3306"/>
      <c r="U15" s="3307"/>
      <c r="V15" s="3307"/>
      <c r="W15" s="3307"/>
      <c r="X15" s="3307"/>
      <c r="Y15" s="3306"/>
      <c r="Z15" s="3307"/>
      <c r="AA15" s="3307"/>
      <c r="AB15" s="3307"/>
      <c r="AC15" s="3307"/>
      <c r="AD15" s="3307"/>
      <c r="AE15" s="3307"/>
      <c r="AF15" s="3307"/>
      <c r="AG15" s="3307"/>
      <c r="AH15" s="3307"/>
      <c r="AI15" s="3307"/>
      <c r="AJ15" s="3307"/>
      <c r="AK15" s="3307"/>
      <c r="AL15" s="3307"/>
      <c r="AM15" s="3307"/>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31" t="s">
        <v>864</v>
      </c>
      <c r="D16" s="3331"/>
      <c r="E16" s="3331"/>
      <c r="F16" s="3331"/>
      <c r="G16" s="3331"/>
      <c r="H16" s="3331"/>
      <c r="I16" s="3331"/>
      <c r="J16" s="3331"/>
      <c r="K16" s="3331"/>
      <c r="L16" s="3331"/>
      <c r="M16" s="3331"/>
      <c r="N16" s="3331"/>
      <c r="O16" s="3331"/>
      <c r="P16" s="3331"/>
      <c r="Q16" s="3331"/>
      <c r="R16" s="3331"/>
      <c r="S16" s="3332"/>
      <c r="T16" s="3306"/>
      <c r="U16" s="3307"/>
      <c r="V16" s="3307"/>
      <c r="W16" s="3307"/>
      <c r="X16" s="3307"/>
      <c r="Y16" s="3306"/>
      <c r="Z16" s="3307"/>
      <c r="AA16" s="3307"/>
      <c r="AB16" s="3307"/>
      <c r="AC16" s="3307"/>
      <c r="AD16" s="3307"/>
      <c r="AE16" s="3307"/>
      <c r="AF16" s="3307"/>
      <c r="AG16" s="3307"/>
      <c r="AH16" s="3307"/>
      <c r="AI16" s="3307"/>
      <c r="AJ16" s="3307"/>
      <c r="AK16" s="3307"/>
      <c r="AL16" s="3307"/>
      <c r="AM16" s="3307"/>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31" t="s">
        <v>534</v>
      </c>
      <c r="D17" s="3331"/>
      <c r="E17" s="3331"/>
      <c r="F17" s="3331"/>
      <c r="G17" s="3331"/>
      <c r="H17" s="3331"/>
      <c r="I17" s="3331"/>
      <c r="J17" s="3331"/>
      <c r="K17" s="3331"/>
      <c r="L17" s="3331"/>
      <c r="M17" s="3331"/>
      <c r="N17" s="3331"/>
      <c r="O17" s="3331"/>
      <c r="P17" s="3331"/>
      <c r="Q17" s="3331"/>
      <c r="R17" s="3331"/>
      <c r="S17" s="3332"/>
      <c r="T17" s="3306"/>
      <c r="U17" s="3307"/>
      <c r="V17" s="3307"/>
      <c r="W17" s="3307"/>
      <c r="X17" s="3307"/>
      <c r="Y17" s="3306"/>
      <c r="Z17" s="3307"/>
      <c r="AA17" s="3307"/>
      <c r="AB17" s="3307"/>
      <c r="AC17" s="3307"/>
      <c r="AD17" s="3307"/>
      <c r="AE17" s="3307"/>
      <c r="AF17" s="3307"/>
      <c r="AG17" s="3307"/>
      <c r="AH17" s="3307"/>
      <c r="AI17" s="3307"/>
      <c r="AJ17" s="3307"/>
      <c r="AK17" s="3307"/>
      <c r="AL17" s="3307"/>
      <c r="AM17" s="3307"/>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26" t="s">
        <v>1039</v>
      </c>
      <c r="D18" s="3326"/>
      <c r="E18" s="3326"/>
      <c r="F18" s="3326"/>
      <c r="G18" s="3326"/>
      <c r="H18" s="3326"/>
      <c r="I18" s="3326"/>
      <c r="J18" s="3326"/>
      <c r="K18" s="3326"/>
      <c r="L18" s="3326"/>
      <c r="M18" s="3326"/>
      <c r="N18" s="3326"/>
      <c r="O18" s="3326"/>
      <c r="P18" s="3326"/>
      <c r="Q18" s="3326"/>
      <c r="R18" s="3326"/>
      <c r="S18" s="3327"/>
      <c r="T18" s="3306"/>
      <c r="U18" s="3307"/>
      <c r="V18" s="3307"/>
      <c r="W18" s="3307"/>
      <c r="X18" s="3307"/>
      <c r="Y18" s="3306"/>
      <c r="Z18" s="3307"/>
      <c r="AA18" s="3307"/>
      <c r="AB18" s="3307"/>
      <c r="AC18" s="3307"/>
      <c r="AD18" s="3307"/>
      <c r="AE18" s="3307"/>
      <c r="AF18" s="3307"/>
      <c r="AG18" s="3307"/>
      <c r="AH18" s="3307"/>
      <c r="AI18" s="3307"/>
      <c r="AJ18" s="3307"/>
      <c r="AK18" s="3307"/>
      <c r="AL18" s="3307"/>
      <c r="AM18" s="3307"/>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26" t="s">
        <v>1039</v>
      </c>
      <c r="D19" s="3326"/>
      <c r="E19" s="3326"/>
      <c r="F19" s="3326"/>
      <c r="G19" s="3326"/>
      <c r="H19" s="3326"/>
      <c r="I19" s="3326"/>
      <c r="J19" s="3326"/>
      <c r="K19" s="3326"/>
      <c r="L19" s="3326"/>
      <c r="M19" s="3326"/>
      <c r="N19" s="3326"/>
      <c r="O19" s="3326"/>
      <c r="P19" s="3326"/>
      <c r="Q19" s="3326"/>
      <c r="R19" s="3326"/>
      <c r="S19" s="3327"/>
      <c r="T19" s="3306"/>
      <c r="U19" s="3307"/>
      <c r="V19" s="3307"/>
      <c r="W19" s="3307"/>
      <c r="X19" s="3307"/>
      <c r="Y19" s="3306"/>
      <c r="Z19" s="3307"/>
      <c r="AA19" s="3307"/>
      <c r="AB19" s="3307"/>
      <c r="AC19" s="3307"/>
      <c r="AD19" s="3307"/>
      <c r="AE19" s="3307"/>
      <c r="AF19" s="3307"/>
      <c r="AG19" s="3307"/>
      <c r="AH19" s="3307"/>
      <c r="AI19" s="3307"/>
      <c r="AJ19" s="3307"/>
      <c r="AK19" s="3307"/>
      <c r="AL19" s="3307"/>
      <c r="AM19" s="3307"/>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79" t="s">
        <v>535</v>
      </c>
      <c r="C20" s="3280"/>
      <c r="D20" s="3280"/>
      <c r="E20" s="3280"/>
      <c r="F20" s="3280"/>
      <c r="G20" s="3280"/>
      <c r="H20" s="3280"/>
      <c r="I20" s="3280"/>
      <c r="J20" s="3280"/>
      <c r="K20" s="3280"/>
      <c r="L20" s="3280"/>
      <c r="M20" s="3280"/>
      <c r="N20" s="3280"/>
      <c r="O20" s="3280"/>
      <c r="P20" s="3280"/>
      <c r="Q20" s="3280"/>
      <c r="R20" s="3280"/>
      <c r="S20" s="3281"/>
      <c r="T20" s="3296">
        <f>SUM(T13:X19)</f>
        <v>0</v>
      </c>
      <c r="U20" s="3299"/>
      <c r="V20" s="3299"/>
      <c r="W20" s="3299"/>
      <c r="X20" s="3299"/>
      <c r="Y20" s="3296">
        <f>SUM(Y13:AC19)</f>
        <v>0</v>
      </c>
      <c r="Z20" s="3299"/>
      <c r="AA20" s="3299"/>
      <c r="AB20" s="3299"/>
      <c r="AC20" s="3299"/>
      <c r="AD20" s="3294">
        <f>SUM(AD13:AH19)</f>
        <v>0</v>
      </c>
      <c r="AE20" s="3295"/>
      <c r="AF20" s="3295"/>
      <c r="AG20" s="3295"/>
      <c r="AH20" s="3296"/>
      <c r="AI20" s="3294">
        <f>SUM(AI13:AM19)</f>
        <v>0</v>
      </c>
      <c r="AJ20" s="3295"/>
      <c r="AK20" s="3295"/>
      <c r="AL20" s="3295"/>
      <c r="AM20" s="3296"/>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79" t="s">
        <v>1489</v>
      </c>
      <c r="C21" s="3280"/>
      <c r="D21" s="3280"/>
      <c r="E21" s="3280"/>
      <c r="F21" s="3280"/>
      <c r="G21" s="3280"/>
      <c r="H21" s="3280"/>
      <c r="I21" s="3280"/>
      <c r="J21" s="3280"/>
      <c r="K21" s="3280"/>
      <c r="L21" s="3280"/>
      <c r="M21" s="3280"/>
      <c r="N21" s="3280"/>
      <c r="O21" s="3280"/>
      <c r="P21" s="3280"/>
      <c r="Q21" s="3280"/>
      <c r="R21" s="3280"/>
      <c r="S21" s="3281"/>
      <c r="T21" s="3306"/>
      <c r="U21" s="3307"/>
      <c r="V21" s="3307"/>
      <c r="W21" s="3307"/>
      <c r="X21" s="3307"/>
      <c r="Y21" s="3306"/>
      <c r="Z21" s="3307"/>
      <c r="AA21" s="3307"/>
      <c r="AB21" s="3307"/>
      <c r="AC21" s="3307"/>
      <c r="AD21" s="3317"/>
      <c r="AE21" s="3318"/>
      <c r="AF21" s="3318"/>
      <c r="AG21" s="3318"/>
      <c r="AH21" s="3319"/>
      <c r="AI21" s="3317"/>
      <c r="AJ21" s="3318"/>
      <c r="AK21" s="3318"/>
      <c r="AL21" s="3318"/>
      <c r="AM21" s="331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79" t="s">
        <v>536</v>
      </c>
      <c r="C22" s="3280"/>
      <c r="D22" s="3280"/>
      <c r="E22" s="3280"/>
      <c r="F22" s="3280"/>
      <c r="G22" s="3280"/>
      <c r="H22" s="3280"/>
      <c r="I22" s="3280"/>
      <c r="J22" s="3280"/>
      <c r="K22" s="3280"/>
      <c r="L22" s="3280"/>
      <c r="M22" s="3280"/>
      <c r="N22" s="3280"/>
      <c r="O22" s="3280"/>
      <c r="P22" s="3280"/>
      <c r="Q22" s="3280"/>
      <c r="R22" s="3280"/>
      <c r="S22" s="3281"/>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335" t="s">
        <v>537</v>
      </c>
      <c r="C23" s="3336"/>
      <c r="D23" s="3336"/>
      <c r="E23" s="3336"/>
      <c r="F23" s="3336"/>
      <c r="G23" s="3336"/>
      <c r="H23" s="3336"/>
      <c r="I23" s="3336"/>
      <c r="J23" s="3336"/>
      <c r="K23" s="3336"/>
      <c r="L23" s="3336"/>
      <c r="M23" s="3336"/>
      <c r="N23" s="3336"/>
      <c r="O23" s="3336"/>
      <c r="P23" s="3336"/>
      <c r="Q23" s="3336"/>
      <c r="R23" s="3336"/>
      <c r="S23" s="3337"/>
      <c r="T23" s="3296">
        <f>T11+T22</f>
        <v>105976458</v>
      </c>
      <c r="U23" s="3299"/>
      <c r="V23" s="3299"/>
      <c r="W23" s="3299"/>
      <c r="X23" s="3299"/>
      <c r="Y23" s="3296">
        <f>Y11+Y22</f>
        <v>0</v>
      </c>
      <c r="Z23" s="3299"/>
      <c r="AA23" s="3299"/>
      <c r="AB23" s="3299"/>
      <c r="AC23" s="3299"/>
      <c r="AD23" s="3296">
        <f>AD11+AD22</f>
        <v>0</v>
      </c>
      <c r="AE23" s="3299"/>
      <c r="AF23" s="3299"/>
      <c r="AG23" s="3299"/>
      <c r="AH23" s="3299"/>
      <c r="AI23" s="3296">
        <f>AI11+AI22</f>
        <v>0</v>
      </c>
      <c r="AJ23" s="3299"/>
      <c r="AK23" s="3299"/>
      <c r="AL23" s="3299"/>
      <c r="AM23" s="3299"/>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79" t="s">
        <v>1040</v>
      </c>
      <c r="C24" s="3280"/>
      <c r="D24" s="3280"/>
      <c r="E24" s="3280"/>
      <c r="F24" s="3280"/>
      <c r="G24" s="3280"/>
      <c r="H24" s="3280"/>
      <c r="I24" s="3280"/>
      <c r="J24" s="3280"/>
      <c r="K24" s="3280"/>
      <c r="L24" s="3280"/>
      <c r="M24" s="3280"/>
      <c r="N24" s="3280"/>
      <c r="O24" s="3280"/>
      <c r="P24" s="3280"/>
      <c r="Q24" s="3280"/>
      <c r="R24" s="3280"/>
      <c r="S24" s="3281"/>
      <c r="T24" s="3294">
        <f>Application!AJ1032</f>
        <v>168074843.09999999</v>
      </c>
      <c r="U24" s="3295"/>
      <c r="V24" s="3295"/>
      <c r="W24" s="3295"/>
      <c r="X24" s="3295"/>
      <c r="Y24" s="3295"/>
      <c r="Z24" s="3295"/>
      <c r="AA24" s="3295"/>
      <c r="AB24" s="3295"/>
      <c r="AC24" s="3295"/>
      <c r="AD24" s="3295"/>
      <c r="AE24" s="3295"/>
      <c r="AF24" s="3295"/>
      <c r="AG24" s="3295"/>
      <c r="AH24" s="3295"/>
      <c r="AI24" s="3295"/>
      <c r="AJ24" s="3295"/>
      <c r="AK24" s="3295"/>
      <c r="AL24" s="3295"/>
      <c r="AM24" s="3296"/>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338" t="s">
        <v>1490</v>
      </c>
      <c r="C25" s="3339"/>
      <c r="D25" s="3339"/>
      <c r="E25" s="3339"/>
      <c r="F25" s="3339"/>
      <c r="G25" s="3339"/>
      <c r="H25" s="3339"/>
      <c r="I25" s="3339"/>
      <c r="J25" s="3339"/>
      <c r="K25" s="3339"/>
      <c r="L25" s="3339"/>
      <c r="M25" s="3339"/>
      <c r="N25" s="3339"/>
      <c r="O25" s="3339"/>
      <c r="P25" s="3339"/>
      <c r="Q25" s="3339"/>
      <c r="R25" s="3339"/>
      <c r="S25" s="3340"/>
      <c r="T25" s="3312">
        <f>IF(OR(Application!T195="yes",Application!T194="yes"),1.3,1)</f>
        <v>1.3</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79" t="s">
        <v>538</v>
      </c>
      <c r="C26" s="3280"/>
      <c r="D26" s="3280"/>
      <c r="E26" s="3280"/>
      <c r="F26" s="3280"/>
      <c r="G26" s="3280"/>
      <c r="H26" s="3280"/>
      <c r="I26" s="3280"/>
      <c r="J26" s="3280"/>
      <c r="K26" s="3280"/>
      <c r="L26" s="3280"/>
      <c r="M26" s="3280"/>
      <c r="N26" s="3280"/>
      <c r="O26" s="3280"/>
      <c r="P26" s="3280"/>
      <c r="Q26" s="3280"/>
      <c r="R26" s="3280"/>
      <c r="S26" s="3281"/>
      <c r="T26" s="3315">
        <f>T23*T25</f>
        <v>137769395.40000001</v>
      </c>
      <c r="U26" s="3316"/>
      <c r="V26" s="3316"/>
      <c r="W26" s="3316"/>
      <c r="X26" s="3316"/>
      <c r="Y26" s="3315">
        <f>Y23*Y25</f>
        <v>0</v>
      </c>
      <c r="Z26" s="3316"/>
      <c r="AA26" s="3316"/>
      <c r="AB26" s="3316"/>
      <c r="AC26" s="3316"/>
      <c r="AD26" s="3315">
        <f>AD23*AD25</f>
        <v>0</v>
      </c>
      <c r="AE26" s="3316"/>
      <c r="AF26" s="3316"/>
      <c r="AG26" s="3316"/>
      <c r="AH26" s="3316"/>
      <c r="AI26" s="3315">
        <f>AI23*AI25</f>
        <v>0</v>
      </c>
      <c r="AJ26" s="3316"/>
      <c r="AK26" s="3316"/>
      <c r="AL26" s="3316"/>
      <c r="AM26" s="3316"/>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341" t="s">
        <v>447</v>
      </c>
      <c r="C27" s="3342"/>
      <c r="D27" s="3342"/>
      <c r="E27" s="3342"/>
      <c r="F27" s="3342"/>
      <c r="G27" s="3342"/>
      <c r="H27" s="3342"/>
      <c r="I27" s="3342"/>
      <c r="J27" s="3342"/>
      <c r="K27" s="3342"/>
      <c r="L27" s="3342"/>
      <c r="M27" s="3342"/>
      <c r="N27" s="3342"/>
      <c r="O27" s="3342"/>
      <c r="P27" s="3342"/>
      <c r="Q27" s="3342"/>
      <c r="R27" s="3342"/>
      <c r="S27" s="3343"/>
      <c r="T27" s="3310">
        <f>Application!$AG$444</f>
        <v>1</v>
      </c>
      <c r="U27" s="3311"/>
      <c r="V27" s="3311"/>
      <c r="W27" s="3311"/>
      <c r="X27" s="3311"/>
      <c r="Y27" s="3310">
        <f>Application!$AG$444</f>
        <v>1</v>
      </c>
      <c r="Z27" s="3311"/>
      <c r="AA27" s="3311"/>
      <c r="AB27" s="3311"/>
      <c r="AC27" s="3311"/>
      <c r="AD27" s="3310">
        <f>Application!$AG$444</f>
        <v>1</v>
      </c>
      <c r="AE27" s="3311"/>
      <c r="AF27" s="3311"/>
      <c r="AG27" s="3311"/>
      <c r="AH27" s="3311"/>
      <c r="AI27" s="3310">
        <f>Application!$AG$444</f>
        <v>1</v>
      </c>
      <c r="AJ27" s="3311"/>
      <c r="AK27" s="3311"/>
      <c r="AL27" s="3311"/>
      <c r="AM27" s="331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9" t="s">
        <v>539</v>
      </c>
      <c r="C28" s="3280"/>
      <c r="D28" s="3280"/>
      <c r="E28" s="3280"/>
      <c r="F28" s="3280"/>
      <c r="G28" s="3280"/>
      <c r="H28" s="3280"/>
      <c r="I28" s="3280"/>
      <c r="J28" s="3280"/>
      <c r="K28" s="3280"/>
      <c r="L28" s="3280"/>
      <c r="M28" s="3280"/>
      <c r="N28" s="3280"/>
      <c r="O28" s="3280"/>
      <c r="P28" s="3280"/>
      <c r="Q28" s="3280"/>
      <c r="R28" s="3280"/>
      <c r="S28" s="3281"/>
      <c r="T28" s="3308">
        <f>IF(ISERROR((T26*T27)),0,(T26*T27))</f>
        <v>137769395.40000001</v>
      </c>
      <c r="U28" s="3309"/>
      <c r="V28" s="3309"/>
      <c r="W28" s="3309"/>
      <c r="X28" s="3309"/>
      <c r="Y28" s="3308">
        <f>IF(ISERROR((Y26*Y27)),0,(Y26*Y27))</f>
        <v>0</v>
      </c>
      <c r="Z28" s="3309"/>
      <c r="AA28" s="3309"/>
      <c r="AB28" s="3309"/>
      <c r="AC28" s="3309"/>
      <c r="AD28" s="3308">
        <f>IF(ISERROR((AD26*AD27)),0,(AD26*AD27))</f>
        <v>0</v>
      </c>
      <c r="AE28" s="3309"/>
      <c r="AF28" s="3309"/>
      <c r="AG28" s="3309"/>
      <c r="AH28" s="3309"/>
      <c r="AI28" s="3308">
        <f>IF(ISERROR((AI26*AI27)),0,(AI26*AI27))</f>
        <v>0</v>
      </c>
      <c r="AJ28" s="3309"/>
      <c r="AK28" s="3309"/>
      <c r="AL28" s="3309"/>
      <c r="AM28" s="3309"/>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79" t="s">
        <v>556</v>
      </c>
      <c r="C29" s="3280"/>
      <c r="D29" s="3280"/>
      <c r="E29" s="3280"/>
      <c r="F29" s="3280"/>
      <c r="G29" s="3280"/>
      <c r="H29" s="3280"/>
      <c r="I29" s="3280"/>
      <c r="J29" s="3280"/>
      <c r="K29" s="3280"/>
      <c r="L29" s="3280"/>
      <c r="M29" s="3280"/>
      <c r="N29" s="3280"/>
      <c r="O29" s="3280"/>
      <c r="P29" s="3280"/>
      <c r="Q29" s="3280"/>
      <c r="R29" s="3280"/>
      <c r="S29" s="3281"/>
      <c r="T29" s="3294">
        <f>T28+Y28+AD28+AI28</f>
        <v>137769395.40000001</v>
      </c>
      <c r="U29" s="3295"/>
      <c r="V29" s="3295"/>
      <c r="W29" s="3295"/>
      <c r="X29" s="3295"/>
      <c r="Y29" s="3295"/>
      <c r="Z29" s="3295"/>
      <c r="AA29" s="3295"/>
      <c r="AB29" s="3295"/>
      <c r="AC29" s="3295"/>
      <c r="AD29" s="3295"/>
      <c r="AE29" s="3295"/>
      <c r="AF29" s="3295"/>
      <c r="AG29" s="3295"/>
      <c r="AH29" s="3295"/>
      <c r="AI29" s="3295"/>
      <c r="AJ29" s="3295"/>
      <c r="AK29" s="3295"/>
      <c r="AL29" s="3295"/>
      <c r="AM29" s="3296"/>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1" t="s">
        <v>1492</v>
      </c>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1" t="s">
        <v>1491</v>
      </c>
      <c r="C31" s="3301"/>
      <c r="D31" s="3301"/>
      <c r="E31" s="3301"/>
      <c r="F31" s="3301"/>
      <c r="G31" s="3301"/>
      <c r="H31" s="3301"/>
      <c r="I31" s="3301"/>
      <c r="J31" s="3301"/>
      <c r="K31" s="3301"/>
      <c r="L31" s="3301"/>
      <c r="M31" s="3301"/>
      <c r="N31" s="3301"/>
      <c r="O31" s="3301"/>
      <c r="P31" s="3301"/>
      <c r="Q31" s="3301"/>
      <c r="R31" s="3301"/>
      <c r="S31" s="3301"/>
      <c r="T31" s="3301"/>
      <c r="U31" s="3301"/>
      <c r="V31" s="3301"/>
      <c r="W31" s="3301"/>
      <c r="X31" s="3301"/>
      <c r="Y31" s="3301"/>
      <c r="Z31" s="3301"/>
      <c r="AA31" s="3301"/>
      <c r="AB31" s="3301"/>
      <c r="AC31" s="3301"/>
      <c r="AD31" s="3301"/>
      <c r="AE31" s="3301"/>
      <c r="AF31" s="3301"/>
      <c r="AG31" s="3301"/>
      <c r="AH31" s="3301"/>
      <c r="AI31" s="3301"/>
      <c r="AJ31" s="3301"/>
      <c r="AK31" s="3301"/>
      <c r="AL31" s="3301"/>
      <c r="AM31" s="3301"/>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7" t="s">
        <v>1342</v>
      </c>
      <c r="Z35" s="3297"/>
      <c r="AA35" s="3297"/>
      <c r="AB35" s="3297"/>
      <c r="AC35" s="3297"/>
      <c r="AD35" s="3298" t="s">
        <v>380</v>
      </c>
      <c r="AE35" s="3298"/>
      <c r="AF35" s="3298"/>
      <c r="AG35" s="3298"/>
      <c r="AH35" s="3298"/>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7"/>
      <c r="Z36" s="3297"/>
      <c r="AA36" s="3297"/>
      <c r="AB36" s="3297"/>
      <c r="AC36" s="3297"/>
      <c r="AD36" s="3298"/>
      <c r="AE36" s="3298"/>
      <c r="AF36" s="3298"/>
      <c r="AG36" s="3298"/>
      <c r="AH36" s="3298"/>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7"/>
      <c r="Z37" s="3297"/>
      <c r="AA37" s="3297"/>
      <c r="AB37" s="3297"/>
      <c r="AC37" s="3297"/>
      <c r="AD37" s="3298"/>
      <c r="AE37" s="3298"/>
      <c r="AF37" s="3298"/>
      <c r="AG37" s="3298"/>
      <c r="AH37" s="3298"/>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9" t="s">
        <v>539</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99">
        <f>IF(T24&gt;=(T23+Y23+AD23+AI23),T28+Y28,0)</f>
        <v>137769395.40000001</v>
      </c>
      <c r="Z38" s="3299"/>
      <c r="AA38" s="3299"/>
      <c r="AB38" s="3299"/>
      <c r="AC38" s="3299"/>
      <c r="AD38" s="3299">
        <f>IF(T24&gt;=(T23+Y23+AD23+AI23),AD28+AI28,0)</f>
        <v>0</v>
      </c>
      <c r="AE38" s="3299"/>
      <c r="AF38" s="3299"/>
      <c r="AG38" s="3299"/>
      <c r="AH38" s="3299"/>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79" t="s">
        <v>2109</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00">
        <v>0.04</v>
      </c>
      <c r="Z39" s="3300"/>
      <c r="AA39" s="3300"/>
      <c r="AB39" s="3300"/>
      <c r="AC39" s="3300"/>
      <c r="AD39" s="3300">
        <v>0.04</v>
      </c>
      <c r="AE39" s="3300"/>
      <c r="AF39" s="3300"/>
      <c r="AG39" s="3300"/>
      <c r="AH39" s="3300"/>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9" t="s">
        <v>677</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99">
        <f>ROUND(Y38*Y39,0)</f>
        <v>5510776</v>
      </c>
      <c r="Z40" s="3299"/>
      <c r="AA40" s="3299"/>
      <c r="AB40" s="3299"/>
      <c r="AC40" s="3299"/>
      <c r="AD40" s="3296">
        <f>ROUND(AD38*AD39,0)</f>
        <v>0</v>
      </c>
      <c r="AE40" s="3299"/>
      <c r="AF40" s="3299"/>
      <c r="AG40" s="3299"/>
      <c r="AH40" s="3299"/>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79" t="s">
        <v>678</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344">
        <f>Y40+AD40</f>
        <v>5510776</v>
      </c>
      <c r="Z41" s="3345"/>
      <c r="AA41" s="3345"/>
      <c r="AB41" s="3345"/>
      <c r="AC41" s="3345"/>
      <c r="AD41" s="3345"/>
      <c r="AE41" s="3345"/>
      <c r="AF41" s="3345"/>
      <c r="AG41" s="3345"/>
      <c r="AH41" s="334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93" t="s">
        <v>1504</v>
      </c>
      <c r="B44" s="3293"/>
      <c r="C44" s="3293"/>
      <c r="D44" s="3293"/>
      <c r="E44" s="3293"/>
      <c r="F44" s="3293"/>
      <c r="G44" s="3293"/>
      <c r="H44" s="3293"/>
      <c r="I44" s="3293"/>
      <c r="J44" s="3293"/>
      <c r="K44" s="3293"/>
      <c r="L44" s="3293"/>
      <c r="M44" s="3293"/>
      <c r="N44" s="3293"/>
      <c r="O44" s="3293"/>
      <c r="P44" s="3293"/>
      <c r="Q44" s="3293"/>
      <c r="R44" s="3293"/>
      <c r="S44" s="3293"/>
      <c r="T44" s="3293"/>
      <c r="U44" s="3293"/>
      <c r="V44" s="3293"/>
      <c r="W44" s="3293"/>
      <c r="X44" s="3293"/>
      <c r="Y44" s="3293"/>
      <c r="Z44" s="3293"/>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3"/>
      <c r="AV44" s="3293"/>
      <c r="AW44" s="3293"/>
      <c r="AX44" s="3293"/>
      <c r="AY44" s="3293"/>
      <c r="AZ44" s="3293"/>
      <c r="BA44" s="3293"/>
      <c r="BB44" s="3293"/>
      <c r="BC44" s="3293"/>
      <c r="BD44" s="3293"/>
      <c r="BE44" s="3293"/>
      <c r="BF44" s="3293"/>
      <c r="BG44" s="3293"/>
      <c r="BH44" s="3293"/>
      <c r="BI44" s="3293"/>
      <c r="BJ44" s="3293"/>
      <c r="BK44" s="3293"/>
      <c r="BL44" s="3293"/>
      <c r="BM44" s="3293"/>
      <c r="BN44" s="3293"/>
      <c r="BO44" s="3293"/>
      <c r="BP44" s="3293"/>
      <c r="BQ44" s="3293"/>
      <c r="BR44" s="3293"/>
      <c r="BS44" s="3293"/>
      <c r="BT44" s="3293"/>
      <c r="BU44" s="3293"/>
      <c r="BV44" s="3293"/>
      <c r="BW44" s="3293"/>
      <c r="BX44" s="329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7">
        <f>'Sources and Uses Budget'!B105-'Sources and Uses Budget'!B15</f>
        <v>110595624</v>
      </c>
      <c r="AC47" s="3288"/>
      <c r="AD47" s="3288"/>
      <c r="AE47" s="3288"/>
      <c r="AF47" s="328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7">
        <f>Application!AO649-MIN('Sources and Uses Budget'!B15,Application!AG394)</f>
        <v>37943016</v>
      </c>
      <c r="AC48" s="3288"/>
      <c r="AD48" s="3288"/>
      <c r="AE48" s="3288"/>
      <c r="AF48" s="328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7">
        <f>AB47-AB48</f>
        <v>72652608</v>
      </c>
      <c r="AC49" s="3288"/>
      <c r="AD49" s="3288"/>
      <c r="AE49" s="3288"/>
      <c r="AF49" s="328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5">
        <f>0.9999*0.86</f>
        <v>0.85991399999999996</v>
      </c>
      <c r="AC50" s="3276"/>
      <c r="AD50" s="3276"/>
      <c r="AE50" s="3276"/>
      <c r="AF50" s="3277"/>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6" t="s">
        <v>2290</v>
      </c>
      <c r="F51" s="3286"/>
      <c r="G51" s="3286"/>
      <c r="H51" s="3286"/>
      <c r="I51" s="3286"/>
      <c r="J51" s="3286"/>
      <c r="K51" s="3286"/>
      <c r="L51" s="3286"/>
      <c r="M51" s="3286"/>
      <c r="N51" s="3286"/>
      <c r="O51" s="3286"/>
      <c r="P51" s="3286"/>
      <c r="Q51" s="3286"/>
      <c r="R51" s="3286"/>
      <c r="S51" s="3286"/>
      <c r="T51" s="3286"/>
      <c r="U51" s="3286"/>
      <c r="V51" s="3286"/>
      <c r="W51" s="3286"/>
      <c r="X51" s="3286"/>
      <c r="Y51" s="3286"/>
      <c r="Z51" s="3286"/>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6"/>
      <c r="F52" s="3286"/>
      <c r="G52" s="3286"/>
      <c r="H52" s="3286"/>
      <c r="I52" s="3286"/>
      <c r="J52" s="3286"/>
      <c r="K52" s="3286"/>
      <c r="L52" s="3286"/>
      <c r="M52" s="3286"/>
      <c r="N52" s="3286"/>
      <c r="O52" s="3286"/>
      <c r="P52" s="3286"/>
      <c r="Q52" s="3286"/>
      <c r="R52" s="3286"/>
      <c r="S52" s="3286"/>
      <c r="T52" s="3286"/>
      <c r="U52" s="3286"/>
      <c r="V52" s="3286"/>
      <c r="W52" s="3286"/>
      <c r="X52" s="3286"/>
      <c r="Y52" s="3286"/>
      <c r="Z52" s="3286"/>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7">
        <f>ROUND(IF(ISERROR((AB49/AB50)),0,(AB49/AB50)),0)</f>
        <v>84488226</v>
      </c>
      <c r="AC54" s="3288"/>
      <c r="AD54" s="3288"/>
      <c r="AE54" s="3288"/>
      <c r="AF54" s="328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7">
        <f>(AB54/10)</f>
        <v>8448822.5999999996</v>
      </c>
      <c r="AC55" s="3288"/>
      <c r="AD55" s="3288"/>
      <c r="AE55" s="3288"/>
      <c r="AF55" s="328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0">
        <f>(IF((Y41&lt;AB55),Y41,AB55))</f>
        <v>5510776</v>
      </c>
      <c r="AC56" s="3291"/>
      <c r="AD56" s="3291"/>
      <c r="AE56" s="3291"/>
      <c r="AF56" s="3292"/>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7">
        <f>ROUND((10*AB56*AB50),0)</f>
        <v>47387934</v>
      </c>
      <c r="AC57" s="3288"/>
      <c r="AD57" s="3288"/>
      <c r="AE57" s="3288"/>
      <c r="AF57" s="328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1">
        <f>AB49-AB57</f>
        <v>25264674</v>
      </c>
      <c r="AC59" s="3271"/>
      <c r="AD59" s="3271"/>
      <c r="AE59" s="3271"/>
      <c r="AF59" s="3271"/>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93" t="str">
        <f>IF(Application!AP204="yes","Farmworker State Credit", "State Credit" )</f>
        <v>State Credit</v>
      </c>
      <c r="B61" s="3293"/>
      <c r="C61" s="3293"/>
      <c r="D61" s="3293"/>
      <c r="E61" s="3293"/>
      <c r="F61" s="3293"/>
      <c r="G61" s="3293"/>
      <c r="H61" s="3293"/>
      <c r="I61" s="3293"/>
      <c r="J61" s="3293"/>
      <c r="K61" s="3293"/>
      <c r="L61" s="3293"/>
      <c r="M61" s="3293"/>
      <c r="N61" s="3293"/>
      <c r="O61" s="3293"/>
      <c r="P61" s="3293"/>
      <c r="Q61" s="3293"/>
      <c r="R61" s="3293"/>
      <c r="S61" s="3293"/>
      <c r="T61" s="3293"/>
      <c r="U61" s="3293"/>
      <c r="V61" s="3293"/>
      <c r="W61" s="3293"/>
      <c r="X61" s="3293"/>
      <c r="Y61" s="3293"/>
      <c r="Z61" s="3293"/>
      <c r="AA61" s="3293"/>
      <c r="AB61" s="3293"/>
      <c r="AC61" s="3293"/>
      <c r="AD61" s="3293"/>
      <c r="AE61" s="3293"/>
      <c r="AF61" s="3293"/>
      <c r="AG61" s="3293"/>
      <c r="AH61" s="3293"/>
      <c r="AI61" s="3293"/>
      <c r="AJ61" s="3293"/>
      <c r="AK61" s="3293"/>
      <c r="AL61" s="3293"/>
      <c r="AM61" s="3293"/>
      <c r="AN61" s="3293"/>
      <c r="AO61" s="3293"/>
      <c r="AP61" s="3293"/>
      <c r="AQ61" s="3293"/>
      <c r="AR61" s="3293"/>
      <c r="AS61" s="3293"/>
      <c r="AT61" s="3293"/>
      <c r="AU61" s="3293"/>
      <c r="AV61" s="3293"/>
      <c r="AW61" s="3293"/>
      <c r="AX61" s="3293"/>
      <c r="AY61" s="3293"/>
      <c r="AZ61" s="3293"/>
      <c r="BA61" s="3293"/>
      <c r="BB61" s="3293"/>
      <c r="BC61" s="3293"/>
      <c r="BD61" s="3293"/>
      <c r="BE61" s="3293"/>
      <c r="BF61" s="3293"/>
      <c r="BG61" s="3293"/>
      <c r="BH61" s="3293"/>
      <c r="BI61" s="3293"/>
      <c r="BJ61" s="3293"/>
      <c r="BK61" s="3293"/>
      <c r="BL61" s="3293"/>
      <c r="BM61" s="3293"/>
      <c r="BN61" s="3293"/>
      <c r="BO61" s="3293"/>
      <c r="BP61" s="3293"/>
      <c r="BQ61" s="3293"/>
      <c r="BR61" s="3293"/>
      <c r="BS61" s="3293"/>
      <c r="BT61" s="3293"/>
      <c r="BU61" s="3293"/>
      <c r="BV61" s="3293"/>
      <c r="BW61" s="3293"/>
      <c r="BX61" s="329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282" t="s">
        <v>1064</v>
      </c>
      <c r="Z63" s="3282"/>
      <c r="AA63" s="3282"/>
      <c r="AB63" s="3282"/>
      <c r="AC63" s="3282"/>
      <c r="AD63" s="3282" t="s">
        <v>380</v>
      </c>
      <c r="AE63" s="3282"/>
      <c r="AF63" s="3282"/>
      <c r="AG63" s="3282"/>
      <c r="AH63" s="3282"/>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283">
        <f>IF(Application!Z204="(select)",0,((T23*T27)+Y28))</f>
        <v>105976458</v>
      </c>
      <c r="Z64" s="3284"/>
      <c r="AA64" s="3284"/>
      <c r="AB64" s="3284"/>
      <c r="AC64" s="3285"/>
      <c r="AD64" s="3283">
        <f>IF(AND(Application!AP204="yes",Application!M357="yes"),AD28+AI28,0)</f>
        <v>0</v>
      </c>
      <c r="AE64" s="3284"/>
      <c r="AF64" s="3284"/>
      <c r="AG64" s="3284"/>
      <c r="AH64" s="3285"/>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2">
        <f>IF(Application!AP204="yes",0.75,IF(Application!Z203="15% set-aside",0.13,IF(Application!Z203="15% set-aside with qualifying low value rehab",0.95,0.3)))</f>
        <v>0.3</v>
      </c>
      <c r="Z67" s="3272"/>
      <c r="AA67" s="3272"/>
      <c r="AB67" s="3272"/>
      <c r="AC67" s="3272"/>
      <c r="AD67" s="3272">
        <f>IF(Application!AP204="yes",0.75,IF(Application!Z203="15% set-aside with qualifying low value rehab", 0.95,0.13))</f>
        <v>0.13</v>
      </c>
      <c r="AE67" s="3272"/>
      <c r="AF67" s="3272"/>
      <c r="AG67" s="3272"/>
      <c r="AH67" s="327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273">
        <f>ROUND(Y64*Y67,0)</f>
        <v>31792937</v>
      </c>
      <c r="Z68" s="3274"/>
      <c r="AA68" s="3274"/>
      <c r="AB68" s="3274"/>
      <c r="AC68" s="3274"/>
      <c r="AD68" s="3273" t="str">
        <f>IF(Application!D210="At-Risk",AD64*AD67,"$0")</f>
        <v>$0</v>
      </c>
      <c r="AE68" s="3274"/>
      <c r="AF68" s="3274"/>
      <c r="AG68" s="3274"/>
      <c r="AH68" s="327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5">
        <v>0.83991601000000005</v>
      </c>
      <c r="AC71" s="3276"/>
      <c r="AD71" s="3276"/>
      <c r="AE71" s="3276"/>
      <c r="AF71" s="3277"/>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78" t="s">
        <v>1477</v>
      </c>
      <c r="F72" s="3278"/>
      <c r="G72" s="3278"/>
      <c r="H72" s="3278"/>
      <c r="I72" s="3278"/>
      <c r="J72" s="3278"/>
      <c r="K72" s="3278"/>
      <c r="L72" s="3278"/>
      <c r="M72" s="3278"/>
      <c r="N72" s="3278"/>
      <c r="O72" s="3278"/>
      <c r="P72" s="3278"/>
      <c r="Q72" s="3278"/>
      <c r="R72" s="3278"/>
      <c r="S72" s="3278"/>
      <c r="T72" s="3278"/>
      <c r="U72" s="3278"/>
      <c r="V72" s="3278"/>
      <c r="W72" s="3278"/>
      <c r="X72" s="3278"/>
      <c r="Y72" s="3278"/>
      <c r="Z72" s="3278"/>
      <c r="AA72" s="3278"/>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78"/>
      <c r="F73" s="3278"/>
      <c r="G73" s="3278"/>
      <c r="H73" s="3278"/>
      <c r="I73" s="3278"/>
      <c r="J73" s="3278"/>
      <c r="K73" s="3278"/>
      <c r="L73" s="3278"/>
      <c r="M73" s="3278"/>
      <c r="N73" s="3278"/>
      <c r="O73" s="3278"/>
      <c r="P73" s="3278"/>
      <c r="Q73" s="3278"/>
      <c r="R73" s="3278"/>
      <c r="S73" s="3278"/>
      <c r="T73" s="3278"/>
      <c r="U73" s="3278"/>
      <c r="V73" s="3278"/>
      <c r="W73" s="3278"/>
      <c r="X73" s="3278"/>
      <c r="Y73" s="3278"/>
      <c r="Z73" s="3278"/>
      <c r="AA73" s="3278"/>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78"/>
      <c r="F74" s="3278"/>
      <c r="G74" s="3278"/>
      <c r="H74" s="3278"/>
      <c r="I74" s="3278"/>
      <c r="J74" s="3278"/>
      <c r="K74" s="3278"/>
      <c r="L74" s="3278"/>
      <c r="M74" s="3278"/>
      <c r="N74" s="3278"/>
      <c r="O74" s="3278"/>
      <c r="P74" s="3278"/>
      <c r="Q74" s="3278"/>
      <c r="R74" s="3278"/>
      <c r="S74" s="3278"/>
      <c r="T74" s="3278"/>
      <c r="U74" s="3278"/>
      <c r="V74" s="3278"/>
      <c r="W74" s="3278"/>
      <c r="X74" s="3278"/>
      <c r="Y74" s="3278"/>
      <c r="Z74" s="3278"/>
      <c r="AA74" s="3278"/>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6">
        <f>ROUND(IF(ISERROR((AB59/AB71)),0,(AB59/AB71)),0)</f>
        <v>30080000</v>
      </c>
      <c r="AC76" s="3266"/>
      <c r="AD76" s="3266"/>
      <c r="AE76" s="3266"/>
      <c r="AF76" s="3266"/>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7">
        <f>IF((Y68+AD68&lt;AB76),Y68+AD68,AB76)</f>
        <v>30080000</v>
      </c>
      <c r="AC77" s="3268"/>
      <c r="AD77" s="3268"/>
      <c r="AE77" s="3268"/>
      <c r="AF77" s="3269"/>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0">
        <f>AB77*AB71</f>
        <v>25264673.580800001</v>
      </c>
      <c r="AC78" s="3270"/>
      <c r="AD78" s="3270"/>
      <c r="AE78" s="3270"/>
      <c r="AF78" s="3270"/>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1">
        <f>AB49-(AB57+AB78)</f>
        <v>0.41920000314712524</v>
      </c>
      <c r="AC80" s="3271"/>
      <c r="AD80" s="3271"/>
      <c r="AE80" s="3271"/>
      <c r="AF80" s="3271"/>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93"/>
      <c r="B83" s="3293"/>
      <c r="C83" s="3293"/>
      <c r="D83" s="3293"/>
      <c r="E83" s="3293"/>
      <c r="F83" s="3293"/>
      <c r="G83" s="3293"/>
      <c r="H83" s="3293"/>
      <c r="I83" s="3293"/>
      <c r="J83" s="3293"/>
      <c r="K83" s="3293"/>
      <c r="L83" s="3293"/>
      <c r="M83" s="3293"/>
      <c r="N83" s="3293"/>
      <c r="O83" s="3293"/>
      <c r="P83" s="3293"/>
      <c r="Q83" s="3293"/>
      <c r="R83" s="3293"/>
      <c r="S83" s="3293"/>
      <c r="T83" s="3293"/>
      <c r="U83" s="3293"/>
      <c r="V83" s="3293"/>
      <c r="W83" s="3293"/>
      <c r="X83" s="3293"/>
      <c r="Y83" s="3293"/>
      <c r="Z83" s="3293"/>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3"/>
      <c r="AV83" s="3293"/>
      <c r="AW83" s="3293"/>
      <c r="AX83" s="3293"/>
      <c r="AY83" s="3293"/>
      <c r="AZ83" s="3293"/>
      <c r="BA83" s="3293"/>
      <c r="BB83" s="3293"/>
      <c r="BC83" s="3293"/>
      <c r="BD83" s="3293"/>
      <c r="BE83" s="3293"/>
      <c r="BF83" s="3293"/>
      <c r="BG83" s="3293"/>
      <c r="BH83" s="3293"/>
      <c r="BI83" s="3293"/>
      <c r="BJ83" s="3293"/>
      <c r="BK83" s="3293"/>
      <c r="BL83" s="3293"/>
      <c r="BM83" s="3293"/>
      <c r="BN83" s="3293"/>
      <c r="BO83" s="3293"/>
      <c r="BP83" s="3293"/>
      <c r="BQ83" s="3293"/>
      <c r="BR83" s="3293"/>
      <c r="BS83" s="3293"/>
      <c r="BT83" s="3293"/>
      <c r="BU83" s="3293"/>
      <c r="BV83" s="3293"/>
      <c r="BW83" s="3293"/>
      <c r="BX83" s="3293"/>
    </row>
    <row r="84" spans="1:98" ht="13.1" thickTop="1"/>
    <row r="85" spans="1:98" ht="13.1">
      <c r="A85" s="792"/>
      <c r="C85" s="334"/>
      <c r="Z85" s="617"/>
      <c r="AA85" s="617"/>
      <c r="AB85" s="617"/>
      <c r="AC85" s="617"/>
      <c r="AD85" s="617"/>
      <c r="AE85" s="617"/>
      <c r="AF85" s="617"/>
      <c r="AG85" s="617"/>
      <c r="AH85" s="617"/>
    </row>
    <row r="86" spans="1:98" ht="13.1">
      <c r="D86" s="334"/>
      <c r="Z86" s="617"/>
      <c r="AA86" s="617"/>
      <c r="AB86" s="3334"/>
      <c r="AC86" s="3334"/>
      <c r="AD86" s="3334"/>
      <c r="AE86" s="3334"/>
      <c r="AF86" s="3334"/>
      <c r="AG86" s="617"/>
      <c r="AH86" s="617"/>
    </row>
    <row r="87" spans="1:98" ht="13.6" thickBot="1">
      <c r="D87" s="334"/>
      <c r="Z87" s="617"/>
      <c r="AA87" s="617"/>
      <c r="AB87" s="3333"/>
      <c r="AC87" s="3333"/>
      <c r="AD87" s="3333"/>
      <c r="AE87" s="3333"/>
      <c r="AF87" s="3333"/>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K4" sqref="K3:K4"/>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937</v>
      </c>
      <c r="B1" s="340"/>
    </row>
    <row r="2" spans="1:34"/>
    <row r="3" spans="1:34" ht="15.6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1">
      <c r="A4" s="354" t="s">
        <v>900</v>
      </c>
      <c r="C4" s="374">
        <v>1.0249999999999999</v>
      </c>
      <c r="E4" s="354">
        <f>Application!Y799</f>
        <v>3673296</v>
      </c>
      <c r="G4" s="354">
        <f>E4*$C$4</f>
        <v>3765128.3999999994</v>
      </c>
      <c r="I4" s="354">
        <f>G4*$C$4</f>
        <v>3859256.6099999989</v>
      </c>
      <c r="K4" s="354">
        <f>I4*$C$4</f>
        <v>3955738.0252499986</v>
      </c>
      <c r="M4" s="354">
        <f>K4*$C$4</f>
        <v>4054631.4758812482</v>
      </c>
      <c r="O4" s="354">
        <f>M4*$C$4</f>
        <v>4155997.2627782789</v>
      </c>
      <c r="Q4" s="354">
        <f>O4*$C$4</f>
        <v>4259897.1943477355</v>
      </c>
      <c r="S4" s="354">
        <f>Q4*$C$4</f>
        <v>4366394.6242064284</v>
      </c>
      <c r="U4" s="354">
        <f>S4*$C$4</f>
        <v>4475554.489811589</v>
      </c>
      <c r="W4" s="354">
        <f>U4*$C$4</f>
        <v>4587443.3520568786</v>
      </c>
      <c r="Y4" s="354">
        <f>W4*$C$4</f>
        <v>4702129.4358583</v>
      </c>
      <c r="AA4" s="354">
        <f>Y4*$C$4</f>
        <v>4819682.6717547569</v>
      </c>
      <c r="AC4" s="354">
        <f>AA4*$C$4</f>
        <v>4940174.7385486253</v>
      </c>
      <c r="AE4" s="354">
        <f>AC4*$C$4</f>
        <v>5063679.1070123408</v>
      </c>
      <c r="AG4" s="354">
        <f>AE4*$C$4</f>
        <v>5190271.0846876493</v>
      </c>
    </row>
    <row r="5" spans="1:34" s="339" customFormat="1" ht="14.1">
      <c r="B5" s="339" t="s">
        <v>901</v>
      </c>
      <c r="C5" s="375">
        <f>IF(Application!$D$210="Special Needs",0.1,0.05)</f>
        <v>0.05</v>
      </c>
      <c r="E5" s="356">
        <f>-E4*$C$5</f>
        <v>-183664.80000000002</v>
      </c>
      <c r="F5" s="356"/>
      <c r="G5" s="356">
        <f>-G4*$C$5</f>
        <v>-188256.41999999998</v>
      </c>
      <c r="H5" s="356"/>
      <c r="I5" s="356">
        <f>-I4*$C$5</f>
        <v>-192962.83049999995</v>
      </c>
      <c r="J5" s="356"/>
      <c r="K5" s="356">
        <f>-K4*$C$5</f>
        <v>-197786.90126249995</v>
      </c>
      <c r="L5" s="356"/>
      <c r="M5" s="356">
        <f>-M4*$C$5</f>
        <v>-202731.57379406242</v>
      </c>
      <c r="N5" s="356"/>
      <c r="O5" s="356">
        <f>-O4*$C$5</f>
        <v>-207799.86313891396</v>
      </c>
      <c r="P5" s="356"/>
      <c r="Q5" s="356">
        <f>-Q4*$C$5</f>
        <v>-212994.85971738677</v>
      </c>
      <c r="R5" s="356"/>
      <c r="S5" s="356">
        <f>-S4*$C$5</f>
        <v>-218319.73121032142</v>
      </c>
      <c r="T5" s="356"/>
      <c r="U5" s="356">
        <f>-U4*$C$5</f>
        <v>-223777.72449057945</v>
      </c>
      <c r="V5" s="356"/>
      <c r="W5" s="356">
        <f>-W4*$C$5</f>
        <v>-229372.16760284395</v>
      </c>
      <c r="X5" s="356"/>
      <c r="Y5" s="356">
        <f>-Y4*$C$5</f>
        <v>-235106.47179291502</v>
      </c>
      <c r="Z5" s="356"/>
      <c r="AA5" s="356">
        <f>-AA4*$C$5</f>
        <v>-240984.13358773786</v>
      </c>
      <c r="AB5" s="356"/>
      <c r="AC5" s="356">
        <f>-AC4*$C$5</f>
        <v>-247008.73692743128</v>
      </c>
      <c r="AD5" s="356"/>
      <c r="AE5" s="356">
        <f>-AE4*$C$5</f>
        <v>-253183.95535061706</v>
      </c>
      <c r="AF5" s="356"/>
      <c r="AG5" s="356">
        <f>-AG4*$C$5</f>
        <v>-259513.55423438246</v>
      </c>
    </row>
    <row r="6" spans="1:34" s="339" customFormat="1" ht="14.1">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44100</v>
      </c>
      <c r="F8" s="357"/>
      <c r="G8" s="357">
        <f>E8*$C$8</f>
        <v>45202.499999999993</v>
      </c>
      <c r="H8" s="357"/>
      <c r="I8" s="357">
        <f>G8*$C$8</f>
        <v>46332.562499999985</v>
      </c>
      <c r="J8" s="357"/>
      <c r="K8" s="357">
        <f>I8*$C$8</f>
        <v>47490.87656249998</v>
      </c>
      <c r="L8" s="357"/>
      <c r="M8" s="357">
        <f>K8*$C$8</f>
        <v>48678.148476562477</v>
      </c>
      <c r="N8" s="357"/>
      <c r="O8" s="357">
        <f>M8*$C$8</f>
        <v>49895.102188476536</v>
      </c>
      <c r="P8" s="357"/>
      <c r="Q8" s="357">
        <f>O8*$C$8</f>
        <v>51142.479743188444</v>
      </c>
      <c r="R8" s="357"/>
      <c r="S8" s="357">
        <f>Q8*$C$8</f>
        <v>52421.041736768151</v>
      </c>
      <c r="T8" s="357"/>
      <c r="U8" s="357">
        <f>S8*$C$8</f>
        <v>53731.567780187353</v>
      </c>
      <c r="V8" s="357"/>
      <c r="W8" s="357">
        <f>U8*$C$8</f>
        <v>55074.856974692033</v>
      </c>
      <c r="X8" s="357"/>
      <c r="Y8" s="357">
        <f>W8*$C$8</f>
        <v>56451.728399059328</v>
      </c>
      <c r="Z8" s="357"/>
      <c r="AA8" s="357">
        <f>Y8*$C$8</f>
        <v>57863.021609035808</v>
      </c>
      <c r="AB8" s="357"/>
      <c r="AC8" s="357">
        <f>AA8*$C$8</f>
        <v>59309.597149261695</v>
      </c>
      <c r="AD8" s="357"/>
      <c r="AE8" s="357">
        <f>AC8*$C$8</f>
        <v>60792.33707799323</v>
      </c>
      <c r="AF8" s="357"/>
      <c r="AG8" s="357">
        <f>AE8*$C$8</f>
        <v>62312.145504943059</v>
      </c>
    </row>
    <row r="9" spans="1:34" s="339" customFormat="1" ht="14.1">
      <c r="B9" s="339" t="s">
        <v>901</v>
      </c>
      <c r="C9" s="375">
        <f>IF(Application!$D$210="Special Needs",0.1,0.05)</f>
        <v>0.05</v>
      </c>
      <c r="E9" s="373">
        <f>-E8*$C$9</f>
        <v>-2205</v>
      </c>
      <c r="F9" s="356"/>
      <c r="G9" s="373">
        <f>-G8*$C$9</f>
        <v>-2260.1249999999995</v>
      </c>
      <c r="H9" s="356"/>
      <c r="I9" s="373">
        <f>-I8*$C$9</f>
        <v>-2316.6281249999993</v>
      </c>
      <c r="J9" s="356"/>
      <c r="K9" s="373">
        <f>-K8*$C$9</f>
        <v>-2374.543828124999</v>
      </c>
      <c r="L9" s="356"/>
      <c r="M9" s="373">
        <f>-M8*$C$9</f>
        <v>-2433.9074238281241</v>
      </c>
      <c r="N9" s="356"/>
      <c r="O9" s="373">
        <f>-O8*$C$9</f>
        <v>-2494.755109423827</v>
      </c>
      <c r="P9" s="356"/>
      <c r="Q9" s="373">
        <f>-Q8*$C$9</f>
        <v>-2557.1239871594225</v>
      </c>
      <c r="R9" s="356"/>
      <c r="S9" s="373">
        <f>-S8*$C$9</f>
        <v>-2621.0520868384078</v>
      </c>
      <c r="T9" s="356"/>
      <c r="U9" s="373">
        <f>-U8*$C$9</f>
        <v>-2686.578389009368</v>
      </c>
      <c r="V9" s="356"/>
      <c r="W9" s="373">
        <f>-W8*$C$9</f>
        <v>-2753.7428487346019</v>
      </c>
      <c r="X9" s="356"/>
      <c r="Y9" s="373">
        <f>-Y8*$C$9</f>
        <v>-2822.5864199529665</v>
      </c>
      <c r="Z9" s="356"/>
      <c r="AA9" s="373">
        <f>-AA8*$C$9</f>
        <v>-2893.1510804517907</v>
      </c>
      <c r="AB9" s="356"/>
      <c r="AC9" s="373">
        <f>-AC8*$C$9</f>
        <v>-2965.479857463085</v>
      </c>
      <c r="AD9" s="356"/>
      <c r="AE9" s="373">
        <f>-AE8*$C$9</f>
        <v>-3039.6168538996617</v>
      </c>
      <c r="AF9" s="356"/>
      <c r="AG9" s="373">
        <f>-AG8*$C$9</f>
        <v>-3115.6072752471532</v>
      </c>
    </row>
    <row r="10" spans="1:34" s="358" customFormat="1" ht="14.1">
      <c r="A10" s="358" t="s">
        <v>922</v>
      </c>
      <c r="C10" s="349"/>
      <c r="E10" s="358">
        <f>SUM(E4:E9)</f>
        <v>3531526.2</v>
      </c>
      <c r="G10" s="358">
        <f>SUM(G4:G9)</f>
        <v>3619814.3549999995</v>
      </c>
      <c r="I10" s="358">
        <f>SUM(I4:I9)</f>
        <v>3710309.713874999</v>
      </c>
      <c r="K10" s="358">
        <f>SUM(K4:K9)</f>
        <v>3803067.4567218735</v>
      </c>
      <c r="M10" s="358">
        <f>SUM(M4:M9)</f>
        <v>3898144.1431399202</v>
      </c>
      <c r="O10" s="358">
        <f>SUM(O4:O9)</f>
        <v>3995597.7467184174</v>
      </c>
      <c r="Q10" s="358">
        <f>SUM(Q4:Q9)</f>
        <v>4095487.6903863777</v>
      </c>
      <c r="S10" s="358">
        <f>SUM(S4:S9)</f>
        <v>4197874.8826460373</v>
      </c>
      <c r="U10" s="358">
        <f>SUM(U4:U9)</f>
        <v>4302821.7547121877</v>
      </c>
      <c r="W10" s="358">
        <f>SUM(W4:W9)</f>
        <v>4410392.2985799927</v>
      </c>
      <c r="Y10" s="358">
        <f>SUM(Y4:Y9)</f>
        <v>4520652.1060444918</v>
      </c>
      <c r="AA10" s="358">
        <f>SUM(AA4:AA9)</f>
        <v>4633668.4086956037</v>
      </c>
      <c r="AC10" s="358">
        <f>SUM(AC4:AC9)</f>
        <v>4749510.1189129921</v>
      </c>
      <c r="AE10" s="358">
        <f>SUM(AE4:AE9)</f>
        <v>4868247.8718858175</v>
      </c>
      <c r="AG10" s="358">
        <f>SUM(AG4:AG9)</f>
        <v>4989954.0686829621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904</v>
      </c>
      <c r="C14" s="369"/>
      <c r="E14" s="354">
        <f>Application!W845</f>
        <v>19370</v>
      </c>
      <c r="G14" s="354">
        <f>E14*$C$13</f>
        <v>20047.949999999997</v>
      </c>
      <c r="I14" s="354">
        <f>G14*$C$13</f>
        <v>20749.628249999994</v>
      </c>
      <c r="K14" s="354">
        <f>I14*$C$13</f>
        <v>21475.865238749993</v>
      </c>
      <c r="M14" s="354">
        <f>K14*$C$13</f>
        <v>22227.520522106242</v>
      </c>
      <c r="O14" s="354">
        <f>M14*$C$13</f>
        <v>23005.483740379957</v>
      </c>
      <c r="Q14" s="354">
        <f>O14*$C$13</f>
        <v>23810.675671293255</v>
      </c>
      <c r="S14" s="354">
        <f>Q14*$C$13</f>
        <v>24644.049319788515</v>
      </c>
      <c r="U14" s="354">
        <f>S14*$C$13</f>
        <v>25506.591045981113</v>
      </c>
      <c r="W14" s="354">
        <f>U14*$C$13</f>
        <v>26399.321732590452</v>
      </c>
      <c r="Y14" s="354">
        <f>W14*$C$13</f>
        <v>27323.297993231114</v>
      </c>
      <c r="AA14" s="354">
        <f>Y14*$C$13</f>
        <v>28279.6134229942</v>
      </c>
      <c r="AC14" s="354">
        <f>AA14*$C$13</f>
        <v>29269.399892798996</v>
      </c>
      <c r="AE14" s="354">
        <f>AC14*$C$13</f>
        <v>30293.828889046959</v>
      </c>
      <c r="AG14" s="354">
        <f>AE14*$C$13</f>
        <v>31354.1129001636</v>
      </c>
    </row>
    <row r="15" spans="1:34" s="339" customFormat="1" ht="14.1">
      <c r="A15" s="339" t="s">
        <v>354</v>
      </c>
      <c r="C15" s="368"/>
      <c r="E15" s="357">
        <f>Application!W847</f>
        <v>113300</v>
      </c>
      <c r="F15" s="357"/>
      <c r="G15" s="357">
        <f t="shared" ref="G15:AG20" si="0">E15*$C$13</f>
        <v>117265.49999999999</v>
      </c>
      <c r="H15" s="357"/>
      <c r="I15" s="357">
        <f t="shared" si="0"/>
        <v>121369.79249999998</v>
      </c>
      <c r="J15" s="357"/>
      <c r="K15" s="357">
        <f t="shared" si="0"/>
        <v>125617.73523749998</v>
      </c>
      <c r="L15" s="357"/>
      <c r="M15" s="357">
        <f t="shared" si="0"/>
        <v>130014.35597081247</v>
      </c>
      <c r="N15" s="357"/>
      <c r="O15" s="357">
        <f t="shared" si="0"/>
        <v>134564.85842979088</v>
      </c>
      <c r="P15" s="357"/>
      <c r="Q15" s="357">
        <f t="shared" si="0"/>
        <v>139274.62847483356</v>
      </c>
      <c r="R15" s="357"/>
      <c r="S15" s="357">
        <f t="shared" si="0"/>
        <v>144149.24047145274</v>
      </c>
      <c r="T15" s="357"/>
      <c r="U15" s="357">
        <f t="shared" si="0"/>
        <v>149194.46388795358</v>
      </c>
      <c r="V15" s="357"/>
      <c r="W15" s="357">
        <f t="shared" si="0"/>
        <v>154416.27012403193</v>
      </c>
      <c r="X15" s="357"/>
      <c r="Y15" s="357">
        <f t="shared" si="0"/>
        <v>159820.83957837304</v>
      </c>
      <c r="Z15" s="357"/>
      <c r="AA15" s="357">
        <f t="shared" si="0"/>
        <v>165414.56896361607</v>
      </c>
      <c r="AB15" s="357"/>
      <c r="AC15" s="357">
        <f t="shared" si="0"/>
        <v>171204.0788773426</v>
      </c>
      <c r="AD15" s="357"/>
      <c r="AE15" s="357">
        <f t="shared" si="0"/>
        <v>177196.22163804958</v>
      </c>
      <c r="AF15" s="357"/>
      <c r="AG15" s="357">
        <f t="shared" si="0"/>
        <v>183398.08939538131</v>
      </c>
    </row>
    <row r="16" spans="1:34" s="339" customFormat="1" ht="14.1">
      <c r="A16" s="339" t="s">
        <v>594</v>
      </c>
      <c r="C16" s="368"/>
      <c r="E16" s="357">
        <f>Application!W853</f>
        <v>328100</v>
      </c>
      <c r="F16" s="357"/>
      <c r="G16" s="357">
        <f t="shared" si="0"/>
        <v>339583.5</v>
      </c>
      <c r="H16" s="357"/>
      <c r="I16" s="357">
        <f t="shared" si="0"/>
        <v>351468.92249999999</v>
      </c>
      <c r="J16" s="357"/>
      <c r="K16" s="357">
        <f t="shared" si="0"/>
        <v>363770.33478749997</v>
      </c>
      <c r="L16" s="357"/>
      <c r="M16" s="357">
        <f t="shared" si="0"/>
        <v>376502.29650506243</v>
      </c>
      <c r="N16" s="357"/>
      <c r="O16" s="357">
        <f t="shared" si="0"/>
        <v>389679.8768827396</v>
      </c>
      <c r="P16" s="357"/>
      <c r="Q16" s="357">
        <f t="shared" si="0"/>
        <v>403318.67257363547</v>
      </c>
      <c r="R16" s="357"/>
      <c r="S16" s="357">
        <f t="shared" si="0"/>
        <v>417434.82611371268</v>
      </c>
      <c r="T16" s="357"/>
      <c r="U16" s="357">
        <f t="shared" si="0"/>
        <v>432045.04502769257</v>
      </c>
      <c r="V16" s="357"/>
      <c r="W16" s="357">
        <f t="shared" si="0"/>
        <v>447166.6216036618</v>
      </c>
      <c r="X16" s="357"/>
      <c r="Y16" s="357">
        <f t="shared" si="0"/>
        <v>462817.45335978991</v>
      </c>
      <c r="Z16" s="357"/>
      <c r="AA16" s="357">
        <f t="shared" si="0"/>
        <v>479016.06422738254</v>
      </c>
      <c r="AB16" s="357"/>
      <c r="AC16" s="357">
        <f t="shared" si="0"/>
        <v>495781.62647534086</v>
      </c>
      <c r="AD16" s="357"/>
      <c r="AE16" s="357">
        <f t="shared" si="0"/>
        <v>513133.98340197775</v>
      </c>
      <c r="AF16" s="357"/>
      <c r="AG16" s="357">
        <f t="shared" si="0"/>
        <v>531093.6728210469</v>
      </c>
    </row>
    <row r="17" spans="1:33" s="339" customFormat="1" ht="14.1">
      <c r="A17" s="339" t="s">
        <v>905</v>
      </c>
      <c r="C17" s="368"/>
      <c r="E17" s="357">
        <f>Application!W860</f>
        <v>320220</v>
      </c>
      <c r="F17" s="357"/>
      <c r="G17" s="357">
        <f t="shared" si="0"/>
        <v>331427.69999999995</v>
      </c>
      <c r="H17" s="357"/>
      <c r="I17" s="357">
        <f t="shared" si="0"/>
        <v>343027.6694999999</v>
      </c>
      <c r="J17" s="357"/>
      <c r="K17" s="357">
        <f t="shared" si="0"/>
        <v>355033.63793249987</v>
      </c>
      <c r="L17" s="357"/>
      <c r="M17" s="357">
        <f t="shared" si="0"/>
        <v>367459.81526013731</v>
      </c>
      <c r="N17" s="357"/>
      <c r="O17" s="357">
        <f t="shared" si="0"/>
        <v>380320.90879424207</v>
      </c>
      <c r="P17" s="357"/>
      <c r="Q17" s="357">
        <f t="shared" si="0"/>
        <v>393632.14060204051</v>
      </c>
      <c r="R17" s="357"/>
      <c r="S17" s="357">
        <f t="shared" si="0"/>
        <v>407409.26552311191</v>
      </c>
      <c r="T17" s="357"/>
      <c r="U17" s="357">
        <f t="shared" si="0"/>
        <v>421668.5898164208</v>
      </c>
      <c r="V17" s="357"/>
      <c r="W17" s="357">
        <f t="shared" si="0"/>
        <v>436426.99045999552</v>
      </c>
      <c r="X17" s="357"/>
      <c r="Y17" s="357">
        <f t="shared" si="0"/>
        <v>451701.93512609531</v>
      </c>
      <c r="Z17" s="357"/>
      <c r="AA17" s="357">
        <f t="shared" si="0"/>
        <v>467511.50285550859</v>
      </c>
      <c r="AB17" s="357"/>
      <c r="AC17" s="357">
        <f t="shared" si="0"/>
        <v>483874.40545545134</v>
      </c>
      <c r="AD17" s="357"/>
      <c r="AE17" s="357">
        <f t="shared" si="0"/>
        <v>500810.00964639208</v>
      </c>
      <c r="AF17" s="357"/>
      <c r="AG17" s="357">
        <f t="shared" si="0"/>
        <v>518338.35998401575</v>
      </c>
    </row>
    <row r="18" spans="1:33" s="339" customFormat="1" ht="14.1">
      <c r="A18" s="339" t="s">
        <v>160</v>
      </c>
      <c r="C18" s="368"/>
      <c r="E18" s="357">
        <f>Application!W861</f>
        <v>132300</v>
      </c>
      <c r="F18" s="357"/>
      <c r="G18" s="357">
        <f t="shared" si="0"/>
        <v>136930.5</v>
      </c>
      <c r="H18" s="357"/>
      <c r="I18" s="357">
        <f t="shared" si="0"/>
        <v>141723.06749999998</v>
      </c>
      <c r="J18" s="357"/>
      <c r="K18" s="357">
        <f t="shared" si="0"/>
        <v>146683.37486249997</v>
      </c>
      <c r="L18" s="357"/>
      <c r="M18" s="357">
        <f t="shared" si="0"/>
        <v>151817.29298268745</v>
      </c>
      <c r="N18" s="357"/>
      <c r="O18" s="357">
        <f t="shared" si="0"/>
        <v>157130.89823708151</v>
      </c>
      <c r="P18" s="357"/>
      <c r="Q18" s="357">
        <f t="shared" si="0"/>
        <v>162630.47967537935</v>
      </c>
      <c r="R18" s="357"/>
      <c r="S18" s="357">
        <f t="shared" si="0"/>
        <v>168322.54646401762</v>
      </c>
      <c r="T18" s="357"/>
      <c r="U18" s="357">
        <f t="shared" si="0"/>
        <v>174213.83559025821</v>
      </c>
      <c r="V18" s="357"/>
      <c r="W18" s="357">
        <f t="shared" si="0"/>
        <v>180311.31983591724</v>
      </c>
      <c r="X18" s="357"/>
      <c r="Y18" s="357">
        <f t="shared" si="0"/>
        <v>186622.21603017431</v>
      </c>
      <c r="Z18" s="357"/>
      <c r="AA18" s="357">
        <f t="shared" si="0"/>
        <v>193153.99359123039</v>
      </c>
      <c r="AB18" s="357"/>
      <c r="AC18" s="357">
        <f t="shared" si="0"/>
        <v>199914.38336692343</v>
      </c>
      <c r="AD18" s="357"/>
      <c r="AE18" s="357">
        <f t="shared" si="0"/>
        <v>206911.38678476572</v>
      </c>
      <c r="AF18" s="357"/>
      <c r="AG18" s="357">
        <f t="shared" si="0"/>
        <v>214153.28532223252</v>
      </c>
    </row>
    <row r="19" spans="1:33" s="339" customFormat="1" ht="14.1">
      <c r="A19" s="339" t="s">
        <v>409</v>
      </c>
      <c r="C19" s="368"/>
      <c r="E19" s="357">
        <f>Application!W870</f>
        <v>498800</v>
      </c>
      <c r="F19" s="357"/>
      <c r="G19" s="357">
        <f t="shared" si="0"/>
        <v>516257.99999999994</v>
      </c>
      <c r="H19" s="357"/>
      <c r="I19" s="357">
        <f t="shared" si="0"/>
        <v>534327.02999999991</v>
      </c>
      <c r="J19" s="357"/>
      <c r="K19" s="357">
        <f t="shared" si="0"/>
        <v>553028.47604999982</v>
      </c>
      <c r="L19" s="357"/>
      <c r="M19" s="357">
        <f t="shared" si="0"/>
        <v>572384.47271174972</v>
      </c>
      <c r="N19" s="357"/>
      <c r="O19" s="357">
        <f t="shared" si="0"/>
        <v>592417.92925666086</v>
      </c>
      <c r="P19" s="357"/>
      <c r="Q19" s="357">
        <f t="shared" si="0"/>
        <v>613152.55678064399</v>
      </c>
      <c r="R19" s="357"/>
      <c r="S19" s="357">
        <f t="shared" si="0"/>
        <v>634612.89626796648</v>
      </c>
      <c r="T19" s="357"/>
      <c r="U19" s="357">
        <f t="shared" si="0"/>
        <v>656824.34763734532</v>
      </c>
      <c r="V19" s="357"/>
      <c r="W19" s="357">
        <f t="shared" si="0"/>
        <v>679813.19980465237</v>
      </c>
      <c r="X19" s="357"/>
      <c r="Y19" s="357">
        <f t="shared" si="0"/>
        <v>703606.66179781512</v>
      </c>
      <c r="Z19" s="357"/>
      <c r="AA19" s="357">
        <f t="shared" si="0"/>
        <v>728232.8949607386</v>
      </c>
      <c r="AB19" s="357"/>
      <c r="AC19" s="357">
        <f t="shared" si="0"/>
        <v>753721.04628436442</v>
      </c>
      <c r="AD19" s="357"/>
      <c r="AE19" s="357">
        <f t="shared" si="0"/>
        <v>780101.28290431714</v>
      </c>
      <c r="AF19" s="357"/>
      <c r="AG19" s="357">
        <f t="shared" si="0"/>
        <v>807404.82780596812</v>
      </c>
    </row>
    <row r="20" spans="1:33" s="339" customFormat="1" ht="14.1">
      <c r="A20" s="361" t="s">
        <v>2665</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906</v>
      </c>
      <c r="C21" s="368"/>
      <c r="E21" s="358">
        <f>SUM(E14:E20)</f>
        <v>1413240</v>
      </c>
      <c r="G21" s="358">
        <f>SUM(G14:G20)</f>
        <v>1462703.4</v>
      </c>
      <c r="I21" s="358">
        <f>SUM(I14:I20)</f>
        <v>1513898.0189999999</v>
      </c>
      <c r="K21" s="358">
        <f>SUM(K14:K20)</f>
        <v>1566884.4496649997</v>
      </c>
      <c r="M21" s="358">
        <f>SUM(M14:M20)</f>
        <v>1621725.4054032743</v>
      </c>
      <c r="O21" s="358">
        <f>SUM(O14:O20)</f>
        <v>1678485.7945923887</v>
      </c>
      <c r="Q21" s="358">
        <f>SUM(Q14:Q20)</f>
        <v>1737232.7974031223</v>
      </c>
      <c r="S21" s="358">
        <f>SUM(S14:S20)</f>
        <v>1798035.9453122318</v>
      </c>
      <c r="U21" s="358">
        <f>SUM(U14:U20)</f>
        <v>1860967.2033981595</v>
      </c>
      <c r="W21" s="358">
        <f>SUM(W14:W20)</f>
        <v>1926101.0555170949</v>
      </c>
      <c r="Y21" s="358">
        <f>SUM(Y14:Y20)</f>
        <v>1993514.5924601934</v>
      </c>
      <c r="AA21" s="358">
        <f>SUM(AA14:AA20)</f>
        <v>2063287.6031962999</v>
      </c>
      <c r="AC21" s="358">
        <f>SUM(AC14:AC20)</f>
        <v>2135502.6693081697</v>
      </c>
      <c r="AE21" s="358">
        <f>SUM(AE14:AE20)</f>
        <v>2210245.2627339559</v>
      </c>
      <c r="AG21" s="358">
        <f>SUM(AG14:AG20)</f>
        <v>2287603.8469296438</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908</v>
      </c>
      <c r="C26" s="376">
        <v>1.0349999999999999</v>
      </c>
      <c r="E26" s="357">
        <f>Application!AC886</f>
        <v>32000</v>
      </c>
      <c r="F26" s="357"/>
      <c r="G26" s="357">
        <f>E26*$C$26</f>
        <v>33120</v>
      </c>
      <c r="H26" s="357"/>
      <c r="I26" s="357">
        <f>G26*$C$26</f>
        <v>34279.199999999997</v>
      </c>
      <c r="J26" s="357"/>
      <c r="K26" s="357">
        <f>I26*$C$26</f>
        <v>35478.971999999994</v>
      </c>
      <c r="L26" s="357"/>
      <c r="M26" s="357">
        <f>K26*$C$26</f>
        <v>36720.736019999989</v>
      </c>
      <c r="N26" s="357"/>
      <c r="O26" s="357">
        <f>M26*$C$26</f>
        <v>38005.961780699989</v>
      </c>
      <c r="P26" s="357"/>
      <c r="Q26" s="357">
        <f>O26*$C$26</f>
        <v>39336.170443024486</v>
      </c>
      <c r="R26" s="357"/>
      <c r="S26" s="357">
        <f>Q26*$C$26</f>
        <v>40712.936408530339</v>
      </c>
      <c r="T26" s="357"/>
      <c r="U26" s="357">
        <f>S26*$C$26</f>
        <v>42137.889182828898</v>
      </c>
      <c r="V26" s="357"/>
      <c r="W26" s="357">
        <f>U26*$C$26</f>
        <v>43612.715304227902</v>
      </c>
      <c r="X26" s="357"/>
      <c r="Y26" s="357">
        <f>W26*$C$26</f>
        <v>45139.160339875874</v>
      </c>
      <c r="Z26" s="357"/>
      <c r="AA26" s="357">
        <f>Y26*$C$26</f>
        <v>46719.030951771529</v>
      </c>
      <c r="AB26" s="357"/>
      <c r="AC26" s="357">
        <f>AA26*$C$26</f>
        <v>48354.197035083525</v>
      </c>
      <c r="AD26" s="357"/>
      <c r="AE26" s="357">
        <f>AC26*$C$26</f>
        <v>50046.593931311443</v>
      </c>
      <c r="AF26" s="357"/>
      <c r="AG26" s="357">
        <f>AE26*$C$26</f>
        <v>51798.224718907339</v>
      </c>
    </row>
    <row r="27" spans="1:33" s="339" customFormat="1" ht="14.1">
      <c r="A27" s="339" t="s">
        <v>909</v>
      </c>
      <c r="C27" s="376"/>
      <c r="E27" s="357">
        <f>Application!AC887</f>
        <v>73500</v>
      </c>
      <c r="F27" s="357"/>
      <c r="G27" s="357">
        <f>$E$27</f>
        <v>73500</v>
      </c>
      <c r="H27" s="357"/>
      <c r="I27" s="357">
        <f>$E$27</f>
        <v>73500</v>
      </c>
      <c r="J27" s="357"/>
      <c r="K27" s="357">
        <f>$E$27</f>
        <v>73500</v>
      </c>
      <c r="L27" s="357"/>
      <c r="M27" s="357">
        <f>$E$27</f>
        <v>73500</v>
      </c>
      <c r="N27" s="357"/>
      <c r="O27" s="357">
        <f>$E$27</f>
        <v>73500</v>
      </c>
      <c r="P27" s="357"/>
      <c r="Q27" s="357">
        <f>$E$27</f>
        <v>73500</v>
      </c>
      <c r="R27" s="357"/>
      <c r="S27" s="357">
        <f>$E$27</f>
        <v>73500</v>
      </c>
      <c r="T27" s="357"/>
      <c r="U27" s="357">
        <f>$E$27</f>
        <v>73500</v>
      </c>
      <c r="V27" s="357"/>
      <c r="W27" s="357">
        <f>$E$27</f>
        <v>73500</v>
      </c>
      <c r="X27" s="357"/>
      <c r="Y27" s="357">
        <f>$E$27</f>
        <v>73500</v>
      </c>
      <c r="Z27" s="357"/>
      <c r="AA27" s="357">
        <f>$E$27</f>
        <v>73500</v>
      </c>
      <c r="AB27" s="357"/>
      <c r="AC27" s="357">
        <f>$E$27</f>
        <v>73500</v>
      </c>
      <c r="AD27" s="357"/>
      <c r="AE27" s="357">
        <f>$E$27</f>
        <v>73500</v>
      </c>
      <c r="AF27" s="357"/>
      <c r="AG27" s="357">
        <f>$E$27</f>
        <v>73500</v>
      </c>
    </row>
    <row r="28" spans="1:33" s="339" customFormat="1" ht="14.1">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1">
      <c r="A29" s="339" t="s">
        <v>907</v>
      </c>
      <c r="C29" s="374">
        <v>1.02</v>
      </c>
      <c r="E29" s="357">
        <f>Application!AC889</f>
        <v>7300</v>
      </c>
      <c r="F29" s="357"/>
      <c r="G29" s="357">
        <f>E29*$C$29</f>
        <v>7446</v>
      </c>
      <c r="H29" s="357"/>
      <c r="I29" s="357">
        <f>G29*$C$29</f>
        <v>7594.92</v>
      </c>
      <c r="J29" s="357"/>
      <c r="K29" s="357">
        <f>I29*$C$29</f>
        <v>7746.8184000000001</v>
      </c>
      <c r="L29" s="357"/>
      <c r="M29" s="357">
        <f>K29*$C$29</f>
        <v>7901.7547680000007</v>
      </c>
      <c r="N29" s="357"/>
      <c r="O29" s="357">
        <f>M29*$C$29</f>
        <v>8059.7898633600007</v>
      </c>
      <c r="P29" s="357"/>
      <c r="Q29" s="357">
        <f>O29*$C$29</f>
        <v>8220.9856606272006</v>
      </c>
      <c r="R29" s="357"/>
      <c r="S29" s="357">
        <f>Q29*$C$29</f>
        <v>8385.4053738397452</v>
      </c>
      <c r="T29" s="357"/>
      <c r="U29" s="357">
        <f>S29*$C$29</f>
        <v>8553.1134813165409</v>
      </c>
      <c r="V29" s="357"/>
      <c r="W29" s="357">
        <f>U29*$C$29</f>
        <v>8724.1757509428717</v>
      </c>
      <c r="X29" s="357"/>
      <c r="Y29" s="357">
        <f>W29*$C$29</f>
        <v>8898.659265961729</v>
      </c>
      <c r="Z29" s="357"/>
      <c r="AA29" s="357">
        <f>Y29*$C$29</f>
        <v>9076.6324512809642</v>
      </c>
      <c r="AB29" s="357"/>
      <c r="AC29" s="357">
        <f>AA29*$C$29</f>
        <v>9258.1651003065836</v>
      </c>
      <c r="AD29" s="357"/>
      <c r="AE29" s="357">
        <f>AC29*$C$29</f>
        <v>9443.3284023127162</v>
      </c>
      <c r="AF29" s="357"/>
      <c r="AG29" s="357">
        <f>AE29*$C$29</f>
        <v>9632.1949703589707</v>
      </c>
    </row>
    <row r="30" spans="1:33" s="339" customFormat="1" ht="14.1">
      <c r="A30" s="339" t="s">
        <v>2096</v>
      </c>
      <c r="C30" s="374">
        <v>1.02</v>
      </c>
      <c r="E30" s="357">
        <f>Application!AC890</f>
        <v>427000</v>
      </c>
      <c r="F30" s="357"/>
      <c r="G30" s="357">
        <f>E30*$C$30</f>
        <v>435540</v>
      </c>
      <c r="H30" s="357"/>
      <c r="I30" s="357">
        <f>G30*$C$30</f>
        <v>444250.8</v>
      </c>
      <c r="J30" s="357"/>
      <c r="K30" s="357">
        <f>I30*$C$30</f>
        <v>453135.81599999999</v>
      </c>
      <c r="L30" s="357"/>
      <c r="M30" s="357">
        <f>K30*$C$30</f>
        <v>462198.53232</v>
      </c>
      <c r="N30" s="357"/>
      <c r="O30" s="357">
        <f>M30*$C$30</f>
        <v>471442.5029664</v>
      </c>
      <c r="P30" s="357"/>
      <c r="Q30" s="357">
        <f>O30*$C$30</f>
        <v>480871.35302572802</v>
      </c>
      <c r="R30" s="357"/>
      <c r="S30" s="357">
        <f>Q30*$C$30</f>
        <v>490488.78008624259</v>
      </c>
      <c r="T30" s="357"/>
      <c r="U30" s="357">
        <f>S30*$C$30</f>
        <v>500298.55568796746</v>
      </c>
      <c r="V30" s="357"/>
      <c r="W30" s="357">
        <f>U30*$C$30</f>
        <v>510304.52680172684</v>
      </c>
      <c r="X30" s="357"/>
      <c r="Y30" s="357">
        <f>W30*$C$30</f>
        <v>520510.61733776139</v>
      </c>
      <c r="Z30" s="357"/>
      <c r="AA30" s="357">
        <f>Y30*$C$30</f>
        <v>530920.82968451665</v>
      </c>
      <c r="AB30" s="357"/>
      <c r="AC30" s="357">
        <f>AA30*$C$30</f>
        <v>541539.24627820693</v>
      </c>
      <c r="AD30" s="357"/>
      <c r="AE30" s="357">
        <f>AC30*$C$30</f>
        <v>552370.03120377113</v>
      </c>
      <c r="AF30" s="357"/>
      <c r="AG30" s="357">
        <f>AE30*$C$30</f>
        <v>563417.43182784657</v>
      </c>
    </row>
    <row r="31" spans="1:33" s="339" customFormat="1" ht="14.1">
      <c r="A31" s="361" t="s">
        <v>2666</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1958040</v>
      </c>
      <c r="G34" s="358">
        <f>SUM(G21:G32)</f>
        <v>2017484.4</v>
      </c>
      <c r="I34" s="358">
        <f>SUM(I21:I32)</f>
        <v>2078879.0639999998</v>
      </c>
      <c r="K34" s="358">
        <f>SUM(K21:K32)</f>
        <v>2142289.6454399996</v>
      </c>
      <c r="M34" s="358">
        <f>SUM(M21:M32)</f>
        <v>2207784.0435143989</v>
      </c>
      <c r="O34" s="358">
        <f>SUM(O21:O32)</f>
        <v>2275432.4807310831</v>
      </c>
      <c r="Q34" s="358">
        <f>SUM(Q21:Q32)</f>
        <v>2345307.5831642249</v>
      </c>
      <c r="S34" s="358">
        <f>SUM(S21:S32)</f>
        <v>2417484.4634946776</v>
      </c>
      <c r="U34" s="358">
        <f>SUM(U21:U32)</f>
        <v>2492040.8069350896</v>
      </c>
      <c r="W34" s="358">
        <f>SUM(W21:W32)</f>
        <v>2569056.9601402786</v>
      </c>
      <c r="Y34" s="358">
        <f>SUM(Y21:Y32)</f>
        <v>2648616.023206898</v>
      </c>
      <c r="AA34" s="358">
        <f>SUM(AA21:AA32)</f>
        <v>2730803.9448700831</v>
      </c>
      <c r="AC34" s="358">
        <f>SUM(AC21:AC32)</f>
        <v>2815709.6210084986</v>
      </c>
      <c r="AE34" s="358">
        <f>SUM(AE21:AE32)</f>
        <v>2903424.9965731185</v>
      </c>
      <c r="AG34" s="358">
        <f>SUM(AG21:AG32)</f>
        <v>2994045.171059086</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910</v>
      </c>
      <c r="C36" s="359"/>
      <c r="E36" s="358">
        <f>E10-E34</f>
        <v>1573486.2000000002</v>
      </c>
      <c r="G36" s="358">
        <f>G10-G34</f>
        <v>1602329.9549999996</v>
      </c>
      <c r="I36" s="358">
        <f>I10-I34</f>
        <v>1631430.6498749992</v>
      </c>
      <c r="K36" s="358">
        <f>K10-K34</f>
        <v>1660777.8112818738</v>
      </c>
      <c r="M36" s="358">
        <f>M10-M34</f>
        <v>1690360.0996255213</v>
      </c>
      <c r="O36" s="358">
        <f>O10-O34</f>
        <v>1720165.2659873343</v>
      </c>
      <c r="Q36" s="358">
        <f>Q10-Q34</f>
        <v>1750180.1072221529</v>
      </c>
      <c r="S36" s="358">
        <f>S10-S34</f>
        <v>1780390.4191513597</v>
      </c>
      <c r="U36" s="358">
        <f>U10-U34</f>
        <v>1810780.947777098</v>
      </c>
      <c r="W36" s="358">
        <f>W10-W34</f>
        <v>1841335.3384397142</v>
      </c>
      <c r="Y36" s="358">
        <f>Y10-Y34</f>
        <v>1872036.0828375937</v>
      </c>
      <c r="AA36" s="358">
        <f>AA10-AA34</f>
        <v>1902864.4638255206</v>
      </c>
      <c r="AC36" s="358">
        <f>AC10-AC34</f>
        <v>1933800.4979044935</v>
      </c>
      <c r="AE36" s="358">
        <f>AE10-AE34</f>
        <v>1964822.875312699</v>
      </c>
      <c r="AG36" s="358">
        <f>AG10-AG34</f>
        <v>1995908.8976238761</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Citibank - Perm Loan (T.E. Bonds)</v>
      </c>
      <c r="B39" s="361"/>
      <c r="C39" s="355"/>
      <c r="E39" s="357">
        <f>Application!AF637</f>
        <v>1321716</v>
      </c>
      <c r="F39" s="357"/>
      <c r="G39" s="357">
        <f>$E$39</f>
        <v>1321716</v>
      </c>
      <c r="H39" s="357"/>
      <c r="I39" s="357">
        <f>$E$39</f>
        <v>1321716</v>
      </c>
      <c r="J39" s="357"/>
      <c r="K39" s="357">
        <f>$E$39</f>
        <v>1321716</v>
      </c>
      <c r="L39" s="357"/>
      <c r="M39" s="357">
        <f>$E$39</f>
        <v>1321716</v>
      </c>
      <c r="N39" s="357"/>
      <c r="O39" s="357">
        <f>$E$39</f>
        <v>1321716</v>
      </c>
      <c r="P39" s="357"/>
      <c r="Q39" s="357">
        <f>$E$39</f>
        <v>1321716</v>
      </c>
      <c r="R39" s="357"/>
      <c r="S39" s="357">
        <f>$E$39</f>
        <v>1321716</v>
      </c>
      <c r="T39" s="357"/>
      <c r="U39" s="357">
        <f>$E$39</f>
        <v>1321716</v>
      </c>
      <c r="V39" s="357"/>
      <c r="W39" s="357">
        <f>$E$39</f>
        <v>1321716</v>
      </c>
      <c r="X39" s="357"/>
      <c r="Y39" s="357">
        <f>$E$39</f>
        <v>1321716</v>
      </c>
      <c r="Z39" s="357"/>
      <c r="AA39" s="357">
        <f>$E$39</f>
        <v>1321716</v>
      </c>
      <c r="AB39" s="357"/>
      <c r="AC39" s="357">
        <f>$E$39</f>
        <v>1321716</v>
      </c>
      <c r="AD39" s="357"/>
      <c r="AE39" s="357">
        <f>$E$39</f>
        <v>1321716</v>
      </c>
      <c r="AF39" s="357"/>
      <c r="AG39" s="357">
        <f>$E$39</f>
        <v>1321716</v>
      </c>
    </row>
    <row r="40" spans="1:33" s="339" customFormat="1" ht="14.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911</v>
      </c>
      <c r="C42" s="359"/>
      <c r="E42" s="358">
        <f>SUM(E39:E41)</f>
        <v>1321716</v>
      </c>
      <c r="G42" s="358">
        <f>SUM(G39:G41)</f>
        <v>1321716</v>
      </c>
      <c r="I42" s="358">
        <f>SUM(I39:I41)</f>
        <v>1321716</v>
      </c>
      <c r="K42" s="358">
        <f>SUM(K39:K41)</f>
        <v>1321716</v>
      </c>
      <c r="M42" s="358">
        <f>SUM(M39:M41)</f>
        <v>1321716</v>
      </c>
      <c r="O42" s="358">
        <f>SUM(O39:O41)</f>
        <v>1321716</v>
      </c>
      <c r="Q42" s="358">
        <f>SUM(Q39:Q41)</f>
        <v>1321716</v>
      </c>
      <c r="S42" s="358">
        <f>SUM(S39:S41)</f>
        <v>1321716</v>
      </c>
      <c r="U42" s="358">
        <f>SUM(U39:U41)</f>
        <v>1321716</v>
      </c>
      <c r="W42" s="358">
        <f>SUM(W39:W41)</f>
        <v>1321716</v>
      </c>
      <c r="Y42" s="358">
        <f>SUM(Y39:Y41)</f>
        <v>1321716</v>
      </c>
      <c r="AA42" s="358">
        <f>SUM(AA39:AA41)</f>
        <v>1321716</v>
      </c>
      <c r="AC42" s="358">
        <f>SUM(AC39:AC41)</f>
        <v>1321716</v>
      </c>
      <c r="AE42" s="358">
        <f>SUM(AE39:AE41)</f>
        <v>1321716</v>
      </c>
      <c r="AG42" s="358">
        <f>SUM(AG39:AG41)</f>
        <v>1321716</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912</v>
      </c>
      <c r="C44" s="359"/>
      <c r="E44" s="358">
        <f>E36-E42</f>
        <v>251770.20000000019</v>
      </c>
      <c r="G44" s="358">
        <f>G36-G42</f>
        <v>280613.95499999961</v>
      </c>
      <c r="I44" s="358">
        <f>I36-I42</f>
        <v>309714.64987499919</v>
      </c>
      <c r="K44" s="358">
        <f>K36-K42</f>
        <v>339061.81128187384</v>
      </c>
      <c r="M44" s="358">
        <f>M36-M42</f>
        <v>368644.09962552134</v>
      </c>
      <c r="O44" s="358">
        <f>O36-O42</f>
        <v>398449.26598733431</v>
      </c>
      <c r="Q44" s="358">
        <f>Q36-Q42</f>
        <v>428464.10722215287</v>
      </c>
      <c r="S44" s="358">
        <f>S36-S42</f>
        <v>458674.4191513597</v>
      </c>
      <c r="U44" s="358">
        <f>U36-U42</f>
        <v>489064.94777709804</v>
      </c>
      <c r="W44" s="358">
        <f>W36-W42</f>
        <v>519619.33843971416</v>
      </c>
      <c r="Y44" s="358">
        <f>Y36-Y42</f>
        <v>550320.08283759374</v>
      </c>
      <c r="AA44" s="358">
        <f>AA36-AA42</f>
        <v>581148.46382552059</v>
      </c>
      <c r="AC44" s="358">
        <f>AC36-AC42</f>
        <v>612084.49790449347</v>
      </c>
      <c r="AE44" s="358">
        <f>AE36-AE42</f>
        <v>643106.87531269901</v>
      </c>
      <c r="AG44" s="358">
        <f>AG36-AG42</f>
        <v>674192.89762387611</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914</v>
      </c>
      <c r="C46" s="355"/>
      <c r="E46" s="362">
        <f>E44/(E4+E6+E8)</f>
        <v>6.7727570589735442E-2</v>
      </c>
      <c r="G46" s="362">
        <f>G44/(G4+G6+G8)</f>
        <v>7.364556054698547E-2</v>
      </c>
      <c r="I46" s="362">
        <f>I44/(I4+I6+I8)</f>
        <v>7.9300365756787561E-2</v>
      </c>
      <c r="K46" s="362">
        <f>K44/(K4+K6+K8)</f>
        <v>8.4697083179120863E-2</v>
      </c>
      <c r="M46" s="362">
        <f>M44/(M4+M6+M8)</f>
        <v>8.9840673352359082E-2</v>
      </c>
      <c r="O46" s="362">
        <f>O44/(O4+O6+O8)</f>
        <v>9.4735963598650899E-2</v>
      </c>
      <c r="Q46" s="362">
        <f>Q44/(Q4+Q6+Q8)</f>
        <v>9.9387651149952322E-2</v>
      </c>
      <c r="S46" s="362">
        <f>S44/(S4+S6+S8)</f>
        <v>0.10380030619662782</v>
      </c>
      <c r="U46" s="362">
        <f>U44/(U4+U6+U8)</f>
        <v>0.10797837486050375</v>
      </c>
      <c r="W46" s="362">
        <f>W44/(W4+W6+W8)</f>
        <v>0.11192618209420158</v>
      </c>
      <c r="Y46" s="362">
        <f>Y44/(Y4+Y6+Y8)</f>
        <v>0.11564793450853718</v>
      </c>
      <c r="AA46" s="362">
        <f>AA44/(AA4+AA6+AA8)</f>
        <v>0.1191477231297309</v>
      </c>
      <c r="AC46" s="362">
        <f>AC44/(AC4+AC6+AC8)</f>
        <v>0.12242952608812435</v>
      </c>
      <c r="AE46" s="362">
        <f>AE44/(AE4+AE6+AE8)</f>
        <v>0.12549721124006763</v>
      </c>
      <c r="AG46" s="362">
        <f>AG44/(AG4+AG6+AG8)</f>
        <v>0.12835453872458791</v>
      </c>
    </row>
    <row r="47" spans="1:33" s="362" customFormat="1" ht="14.1">
      <c r="A47" s="362" t="s">
        <v>915</v>
      </c>
      <c r="C47" s="355"/>
      <c r="E47" s="362">
        <f>E44/E42</f>
        <v>0.19048736642364938</v>
      </c>
      <c r="G47" s="362">
        <f>G44/G42</f>
        <v>0.21231032612149631</v>
      </c>
      <c r="I47" s="362">
        <f>I44/I42</f>
        <v>0.23432768452148509</v>
      </c>
      <c r="K47" s="362">
        <f>K44/K42</f>
        <v>0.25653151757402787</v>
      </c>
      <c r="M47" s="362">
        <f>M44/M42</f>
        <v>0.27891324583005828</v>
      </c>
      <c r="O47" s="362">
        <f>O44/O42</f>
        <v>0.30146360185344984</v>
      </c>
      <c r="Q47" s="362">
        <f>Q44/Q42</f>
        <v>0.32417259624772105</v>
      </c>
      <c r="S47" s="362">
        <f>S44/S42</f>
        <v>0.3470294822422969</v>
      </c>
      <c r="U47" s="362">
        <f>U44/U42</f>
        <v>0.37002271878156734</v>
      </c>
      <c r="W47" s="362">
        <f>W44/W42</f>
        <v>0.39313993205780529</v>
      </c>
      <c r="Y47" s="362">
        <f>Y44/Y42</f>
        <v>0.41636787542678894</v>
      </c>
      <c r="AA47" s="362">
        <f>AA44/AA42</f>
        <v>0.43969238764267105</v>
      </c>
      <c r="AC47" s="362">
        <f>AC44/AC42</f>
        <v>0.46309834934622374</v>
      </c>
      <c r="AE47" s="362">
        <f>AE44/AE42</f>
        <v>0.48656963773813666</v>
      </c>
      <c r="AG47" s="362">
        <f>AG44/AG42</f>
        <v>0.51008907936642678</v>
      </c>
    </row>
    <row r="48" spans="1:33" s="363" customFormat="1" ht="14.1">
      <c r="A48" s="363" t="s">
        <v>913</v>
      </c>
      <c r="C48" s="364"/>
      <c r="E48" s="363">
        <f>E36/E42</f>
        <v>1.1904873664236495</v>
      </c>
      <c r="G48" s="363">
        <f>G36/G42</f>
        <v>1.2123103261214963</v>
      </c>
      <c r="I48" s="363">
        <f>I36/I42</f>
        <v>1.234327684521485</v>
      </c>
      <c r="K48" s="363">
        <f>K36/K42</f>
        <v>1.2565315175740279</v>
      </c>
      <c r="M48" s="363">
        <f>M36/M42</f>
        <v>1.2789132458300583</v>
      </c>
      <c r="O48" s="363">
        <f>O36/O42</f>
        <v>1.3014636018534498</v>
      </c>
      <c r="Q48" s="363">
        <f>Q36/Q42</f>
        <v>1.3241725962477211</v>
      </c>
      <c r="S48" s="363">
        <f>S36/S42</f>
        <v>1.347029482242297</v>
      </c>
      <c r="U48" s="363">
        <f>U36/U42</f>
        <v>1.3700227187815672</v>
      </c>
      <c r="W48" s="363">
        <f>W36/W42</f>
        <v>1.3931399320578053</v>
      </c>
      <c r="Y48" s="363">
        <f>Y36/Y42</f>
        <v>1.416367875426789</v>
      </c>
      <c r="AA48" s="363">
        <f>AA36/AA42</f>
        <v>1.439692387642671</v>
      </c>
      <c r="AC48" s="363">
        <f>AC36/AC42</f>
        <v>1.4630983493462237</v>
      </c>
      <c r="AE48" s="363">
        <f>AE36/AE42</f>
        <v>1.4865696377381366</v>
      </c>
      <c r="AG48" s="363">
        <f>AG36/AG42</f>
        <v>1.5100890793664268</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9" t="s">
        <v>2667</v>
      </c>
      <c r="B51" s="3349"/>
      <c r="C51" s="3349"/>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v>
      </c>
      <c r="E52" s="1582">
        <v>29400</v>
      </c>
      <c r="G52" s="1578">
        <f>E52*$C$52</f>
        <v>29400</v>
      </c>
      <c r="I52" s="1578">
        <f>G52*$C$52</f>
        <v>29400</v>
      </c>
      <c r="K52" s="1578">
        <f>I52*$C$52</f>
        <v>29400</v>
      </c>
      <c r="M52" s="1578">
        <f>K52*$C$52</f>
        <v>29400</v>
      </c>
      <c r="O52" s="1578">
        <f>M52*$C$52</f>
        <v>29400</v>
      </c>
      <c r="Q52" s="1578">
        <f>O52*$C$52</f>
        <v>29400</v>
      </c>
      <c r="S52" s="1578">
        <f>Q52*$C$52</f>
        <v>29400</v>
      </c>
      <c r="U52" s="1578">
        <f>S52*$C$52</f>
        <v>29400</v>
      </c>
      <c r="W52" s="1578">
        <f>U52*$C$52</f>
        <v>29400</v>
      </c>
      <c r="Y52" s="1578">
        <f>W52*$C$52</f>
        <v>29400</v>
      </c>
      <c r="AA52" s="1578">
        <f>Y52*$C$52</f>
        <v>29400</v>
      </c>
      <c r="AC52" s="1578">
        <f>AA52*$C$52</f>
        <v>29400</v>
      </c>
      <c r="AE52" s="1578">
        <f>AC52*$C$52</f>
        <v>29400</v>
      </c>
      <c r="AG52" s="1578">
        <f>AE52*$C$52</f>
        <v>29400</v>
      </c>
    </row>
    <row r="53" spans="1:35" s="6" customFormat="1">
      <c r="A53" s="6" t="s">
        <v>918</v>
      </c>
      <c r="C53" s="1576"/>
      <c r="E53" s="1583">
        <v>10000</v>
      </c>
      <c r="F53" s="1578"/>
      <c r="G53" s="1578">
        <f t="shared" ref="G53:AG56" si="1">E53*$C$52</f>
        <v>10000</v>
      </c>
      <c r="H53" s="1578"/>
      <c r="I53" s="1578">
        <f t="shared" si="1"/>
        <v>10000</v>
      </c>
      <c r="J53" s="1578"/>
      <c r="K53" s="1578">
        <f t="shared" si="1"/>
        <v>10000</v>
      </c>
      <c r="L53" s="1578"/>
      <c r="M53" s="1578">
        <f t="shared" si="1"/>
        <v>10000</v>
      </c>
      <c r="N53" s="1578"/>
      <c r="O53" s="1578">
        <f t="shared" si="1"/>
        <v>10000</v>
      </c>
      <c r="P53" s="1578"/>
      <c r="Q53" s="1578">
        <f t="shared" si="1"/>
        <v>10000</v>
      </c>
      <c r="R53" s="1578"/>
      <c r="S53" s="1578">
        <f t="shared" si="1"/>
        <v>10000</v>
      </c>
      <c r="T53" s="1578"/>
      <c r="U53" s="1578">
        <f t="shared" si="1"/>
        <v>10000</v>
      </c>
      <c r="V53" s="1578"/>
      <c r="W53" s="1578">
        <f t="shared" si="1"/>
        <v>10000</v>
      </c>
      <c r="X53" s="1578"/>
      <c r="Y53" s="1578">
        <f t="shared" si="1"/>
        <v>10000</v>
      </c>
      <c r="Z53" s="1578"/>
      <c r="AA53" s="1578">
        <f t="shared" si="1"/>
        <v>10000</v>
      </c>
      <c r="AB53" s="1578"/>
      <c r="AC53" s="1578">
        <f t="shared" si="1"/>
        <v>10000</v>
      </c>
      <c r="AD53" s="1578"/>
      <c r="AE53" s="1578">
        <f t="shared" si="1"/>
        <v>10000</v>
      </c>
      <c r="AF53" s="1578"/>
      <c r="AG53" s="1578">
        <f t="shared" si="1"/>
        <v>10000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39400</v>
      </c>
      <c r="F57" s="1578"/>
      <c r="G57" s="1578">
        <f>SUM(G52:G56)</f>
        <v>39400</v>
      </c>
      <c r="H57" s="1578"/>
      <c r="I57" s="1578">
        <f>SUM(I52:I56)</f>
        <v>39400</v>
      </c>
      <c r="J57" s="1578"/>
      <c r="K57" s="1578">
        <f>SUM(K52:K56)</f>
        <v>39400</v>
      </c>
      <c r="L57" s="1578"/>
      <c r="M57" s="1578">
        <f>SUM(M52:M56)</f>
        <v>39400</v>
      </c>
      <c r="N57" s="1578"/>
      <c r="O57" s="1578">
        <f>SUM(O52:O56)</f>
        <v>39400</v>
      </c>
      <c r="P57" s="1578"/>
      <c r="Q57" s="1578">
        <f>SUM(Q52:Q56)</f>
        <v>39400</v>
      </c>
      <c r="R57" s="1578"/>
      <c r="S57" s="1578">
        <f>SUM(S52:S56)</f>
        <v>39400</v>
      </c>
      <c r="T57" s="1578"/>
      <c r="U57" s="1578">
        <f>SUM(U52:U56)</f>
        <v>39400</v>
      </c>
      <c r="V57" s="1578"/>
      <c r="W57" s="1578">
        <f>SUM(W52:W56)</f>
        <v>39400</v>
      </c>
      <c r="X57" s="1578"/>
      <c r="Y57" s="1578">
        <f>SUM(Y52:Y56)</f>
        <v>39400</v>
      </c>
      <c r="Z57" s="1578"/>
      <c r="AA57" s="1578">
        <f>SUM(AA52:AA56)</f>
        <v>39400</v>
      </c>
      <c r="AB57" s="1578"/>
      <c r="AC57" s="1578">
        <f>SUM(AC52:AC56)</f>
        <v>39400</v>
      </c>
      <c r="AD57" s="1578"/>
      <c r="AE57" s="1578">
        <f>SUM(AE52:AE56)</f>
        <v>39400</v>
      </c>
      <c r="AF57" s="1578"/>
      <c r="AG57" s="1578">
        <f>SUM(AG52:AG56)</f>
        <v>39400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212370.20000000019</v>
      </c>
      <c r="G59" s="1580">
        <f>G44-G57</f>
        <v>241213.95499999961</v>
      </c>
      <c r="I59" s="1580">
        <f>I44-I57</f>
        <v>270314.64987499919</v>
      </c>
      <c r="K59" s="1580">
        <f>K44-K57</f>
        <v>299661.81128187384</v>
      </c>
      <c r="M59" s="1580">
        <f>M44-M57</f>
        <v>329244.09962552134</v>
      </c>
      <c r="O59" s="1580">
        <f>O44-O57</f>
        <v>359049.26598733431</v>
      </c>
      <c r="Q59" s="1580">
        <f>Q44-Q57</f>
        <v>389064.10722215287</v>
      </c>
      <c r="S59" s="1580">
        <f>S44-S57</f>
        <v>419274.4191513597</v>
      </c>
      <c r="U59" s="1580">
        <f>U44-U57</f>
        <v>449664.94777709804</v>
      </c>
      <c r="W59" s="1580">
        <f>W44-W57</f>
        <v>480219.33843971416</v>
      </c>
      <c r="Y59" s="1580">
        <f>Y44-Y57</f>
        <v>510920.08283759374</v>
      </c>
      <c r="AA59" s="1580">
        <f>AA44-AA57</f>
        <v>541748.46382552059</v>
      </c>
      <c r="AC59" s="1580">
        <f>AC44-AC57</f>
        <v>572684.49790449347</v>
      </c>
      <c r="AE59" s="1580">
        <f>AE44-AE57</f>
        <v>603706.87531269901</v>
      </c>
      <c r="AG59" s="1580">
        <f>AG44-AG57</f>
        <v>634792.89762387611</v>
      </c>
    </row>
    <row r="60" spans="1:35" s="6" customFormat="1" ht="8.3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E59*0.5</f>
        <v>106185.10000000009</v>
      </c>
      <c r="G61" s="1588">
        <f>G59*0.5</f>
        <v>120606.9774999998</v>
      </c>
      <c r="H61" s="1588"/>
      <c r="I61" s="1588">
        <f>I59*0.5</f>
        <v>135157.32493749959</v>
      </c>
      <c r="J61" s="1588"/>
      <c r="K61" s="1588">
        <f>K59*0.5</f>
        <v>149830.90564093692</v>
      </c>
      <c r="L61" s="1588"/>
      <c r="M61" s="1588">
        <f>M59*0.5</f>
        <v>164622.04981276067</v>
      </c>
      <c r="N61" s="1588"/>
      <c r="O61" s="1588">
        <f>O59*0.5</f>
        <v>179524.63299366715</v>
      </c>
      <c r="P61" s="1588"/>
      <c r="Q61" s="1588">
        <f>Q59*0.5</f>
        <v>194532.05361107644</v>
      </c>
      <c r="R61" s="1588"/>
      <c r="S61" s="1588">
        <f>S59*0.5</f>
        <v>209637.20957567985</v>
      </c>
      <c r="T61" s="1588"/>
      <c r="U61" s="1588">
        <f>U59*0.5</f>
        <v>224832.47388854902</v>
      </c>
      <c r="V61" s="1588"/>
      <c r="W61" s="1588">
        <f>W59*0.5</f>
        <v>240109.66921985708</v>
      </c>
      <c r="Y61" s="1588">
        <f>Y59*0.5</f>
        <v>255460.04141879687</v>
      </c>
      <c r="AA61" s="1588">
        <f>AA59*0.5</f>
        <v>270874.2319127603</v>
      </c>
      <c r="AC61" s="1588">
        <f>AC59*0.5</f>
        <v>286342.24895224674</v>
      </c>
      <c r="AE61" s="1588">
        <f>AE59*0.5</f>
        <v>301853.4376563495</v>
      </c>
      <c r="AG61" s="1588">
        <f>AG59*0.5</f>
        <v>317396.44881193805</v>
      </c>
    </row>
    <row r="62" spans="1:35" s="1588" customFormat="1">
      <c r="A62" s="3349" t="s">
        <v>2667</v>
      </c>
      <c r="B62" s="3349"/>
      <c r="C62" s="3349"/>
    </row>
    <row r="63" spans="1:35" s="6" customFormat="1" ht="8.3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2668</v>
      </c>
      <c r="B65" s="1582"/>
      <c r="C65" s="1581">
        <v>50</v>
      </c>
      <c r="E65" s="1582">
        <f>E59*0.5</f>
        <v>106185.10000000009</v>
      </c>
      <c r="G65" s="1578">
        <f>G59*0.5</f>
        <v>120606.9774999998</v>
      </c>
      <c r="I65" s="1578">
        <f>I59*0.5</f>
        <v>135157.32493749959</v>
      </c>
      <c r="K65" s="1578">
        <f>K59*0.5</f>
        <v>149830.90564093692</v>
      </c>
      <c r="M65" s="1578">
        <f>M59*0.5</f>
        <v>164622.04981276067</v>
      </c>
      <c r="O65" s="1578">
        <f>O59*0.5</f>
        <v>179524.63299366715</v>
      </c>
      <c r="Q65" s="1578">
        <f>Q59*0.5</f>
        <v>194532.05361107644</v>
      </c>
      <c r="S65" s="1578">
        <f>S59*0.5</f>
        <v>209637.20957567985</v>
      </c>
      <c r="U65" s="1578">
        <f>U59*0.5</f>
        <v>224832.47388854902</v>
      </c>
      <c r="W65" s="1578">
        <f>W59*0.5</f>
        <v>240109.66921985708</v>
      </c>
      <c r="Y65" s="1578">
        <f>Y59*0.5</f>
        <v>255460.04141879687</v>
      </c>
      <c r="AA65" s="1578">
        <f>AA59*0.5</f>
        <v>270874.2319127603</v>
      </c>
      <c r="AC65" s="1578">
        <f>AC59*0.5</f>
        <v>286342.24895224674</v>
      </c>
      <c r="AE65" s="1578">
        <f>AE59*0.5</f>
        <v>301853.4376563495</v>
      </c>
      <c r="AG65" s="1578">
        <f>AG59*0.5</f>
        <v>317396.44881193805</v>
      </c>
    </row>
    <row r="66" spans="1:33" s="1578" customFormat="1">
      <c r="A66" s="1583"/>
      <c r="B66" s="1583"/>
      <c r="C66" s="1589"/>
      <c r="E66" s="1582"/>
    </row>
    <row r="67" spans="1:33" s="1578" customFormat="1">
      <c r="A67" s="1583"/>
      <c r="B67" s="1583"/>
      <c r="C67" s="1589"/>
      <c r="E67" s="1583"/>
    </row>
    <row r="68" spans="1:33" s="1578" customFormat="1">
      <c r="A68" s="1583"/>
      <c r="B68" s="1583"/>
      <c r="C68" s="1589"/>
      <c r="E68" s="1585"/>
      <c r="G68" s="1586"/>
      <c r="I68" s="1586"/>
      <c r="K68" s="1586"/>
      <c r="M68" s="1586"/>
      <c r="O68" s="1586"/>
      <c r="Q68" s="1586"/>
      <c r="S68" s="1586"/>
      <c r="U68" s="1586"/>
      <c r="W68" s="1586"/>
      <c r="Y68" s="1586"/>
      <c r="AA68" s="1586"/>
      <c r="AC68" s="1586"/>
      <c r="AE68" s="1586"/>
      <c r="AG68" s="1586"/>
    </row>
    <row r="69" spans="1:33" s="1590" customFormat="1">
      <c r="A69" s="1580" t="s">
        <v>916</v>
      </c>
      <c r="C69" s="1589"/>
      <c r="E69" s="1590">
        <f>SUM(E65:E68)</f>
        <v>106185.10000000009</v>
      </c>
      <c r="G69" s="1590">
        <f>SUM(G65:G68)</f>
        <v>120606.9774999998</v>
      </c>
      <c r="I69" s="1590">
        <f>SUM(I65:I68)</f>
        <v>135157.32493749959</v>
      </c>
      <c r="K69" s="1590">
        <f>SUM(K65:K68)</f>
        <v>149830.90564093692</v>
      </c>
      <c r="M69" s="1590">
        <f>SUM(M65:M68)</f>
        <v>164622.04981276067</v>
      </c>
      <c r="O69" s="1590">
        <f>SUM(O65:O68)</f>
        <v>179524.63299366715</v>
      </c>
      <c r="Q69" s="1590">
        <f>SUM(Q65:Q68)</f>
        <v>194532.05361107644</v>
      </c>
      <c r="S69" s="1590">
        <f>SUM(S65:S68)</f>
        <v>209637.20957567985</v>
      </c>
      <c r="U69" s="1590">
        <f>SUM(U65:U68)</f>
        <v>224832.47388854902</v>
      </c>
      <c r="W69" s="1590">
        <f>SUM(W65:W68)</f>
        <v>240109.66921985708</v>
      </c>
      <c r="Y69" s="1590">
        <f>SUM(Y65:Y68)</f>
        <v>255460.04141879687</v>
      </c>
      <c r="AA69" s="1590">
        <f>SUM(AA65:AA68)</f>
        <v>270874.2319127603</v>
      </c>
      <c r="AC69" s="1590">
        <f>SUM(AC65:AC68)</f>
        <v>286342.24895224674</v>
      </c>
      <c r="AE69" s="1590">
        <f>SUM(AE65:AE68)</f>
        <v>301853.4376563495</v>
      </c>
      <c r="AG69" s="1590">
        <f>SUM(AG65:AG68)</f>
        <v>317396.44881193805</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
      <c r="A72" s="911"/>
      <c r="C72" s="1591"/>
    </row>
    <row r="73" spans="1:33" s="351" customFormat="1" ht="13.1">
      <c r="A73" s="911"/>
      <c r="C73" s="352"/>
    </row>
    <row r="74" spans="1:33" s="351" customFormat="1">
      <c r="A74" s="1578" t="s">
        <v>2149</v>
      </c>
      <c r="C74" s="352"/>
    </row>
    <row r="75" spans="1:33" s="351" customFormat="1">
      <c r="C75" s="352"/>
    </row>
    <row r="76" spans="1:33" s="370" customFormat="1" ht="30" customHeight="1">
      <c r="A76" s="3347" t="s">
        <v>2148</v>
      </c>
      <c r="B76" s="3348"/>
      <c r="C76" s="3348"/>
      <c r="D76" s="3348"/>
      <c r="E76" s="3348"/>
      <c r="F76" s="3348"/>
      <c r="G76" s="3348"/>
      <c r="H76" s="3348"/>
      <c r="I76" s="3348"/>
      <c r="J76" s="3348"/>
      <c r="K76" s="3348"/>
      <c r="L76" s="3348"/>
      <c r="M76" s="3348"/>
      <c r="N76" s="3348"/>
      <c r="O76" s="3348"/>
      <c r="P76" s="3348"/>
      <c r="Q76" s="3348"/>
      <c r="R76" s="3348"/>
      <c r="S76" s="3348"/>
      <c r="T76" s="3348"/>
      <c r="U76" s="3348"/>
      <c r="V76" s="3348"/>
      <c r="W76" s="3348"/>
      <c r="X76" s="3348"/>
      <c r="Y76" s="3348"/>
      <c r="Z76" s="3348"/>
      <c r="AA76" s="3348"/>
      <c r="AB76" s="3348"/>
      <c r="AC76" s="3348"/>
      <c r="AD76" s="3348"/>
      <c r="AE76" s="3348"/>
      <c r="AF76" s="3348"/>
      <c r="AG76" s="334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0" t="s">
        <v>979</v>
      </c>
      <c r="B1" s="3350"/>
      <c r="C1" s="3350"/>
      <c r="D1" s="3350"/>
      <c r="E1" s="3350"/>
      <c r="F1" s="3350"/>
      <c r="G1" s="3350"/>
      <c r="H1" s="3350"/>
      <c r="I1" s="3350"/>
      <c r="J1" s="325"/>
      <c r="K1" s="325"/>
    </row>
    <row r="2" spans="1:11">
      <c r="A2" s="653"/>
      <c r="B2" s="653"/>
      <c r="C2" s="653"/>
      <c r="D2" s="653"/>
      <c r="E2" s="653"/>
      <c r="F2" s="653"/>
      <c r="G2" s="653"/>
      <c r="H2" s="653"/>
      <c r="I2" s="653"/>
    </row>
    <row r="3" spans="1:11" ht="84.6">
      <c r="A3" s="654" t="s">
        <v>980</v>
      </c>
      <c r="B3" s="654" t="s">
        <v>981</v>
      </c>
      <c r="C3" s="474" t="s">
        <v>982</v>
      </c>
      <c r="D3" s="383"/>
      <c r="E3" s="474" t="s">
        <v>983</v>
      </c>
      <c r="F3" s="654" t="s">
        <v>984</v>
      </c>
      <c r="G3" s="655"/>
      <c r="H3" s="654" t="s">
        <v>985</v>
      </c>
      <c r="I3" s="654" t="s">
        <v>986</v>
      </c>
      <c r="J3" s="325"/>
      <c r="K3" s="473"/>
    </row>
    <row r="4" spans="1:11">
      <c r="A4" s="656" t="str">
        <f>Application!B728</f>
        <v>SRO/Studio</v>
      </c>
      <c r="B4" s="665">
        <f>Application!G728</f>
        <v>5</v>
      </c>
      <c r="C4" s="656">
        <f>Application!O728</f>
        <v>396</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5</v>
      </c>
      <c r="C5" s="656">
        <f>Application!O729</f>
        <v>713</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30</v>
      </c>
      <c r="C6" s="656">
        <f>Application!O730</f>
        <v>872</v>
      </c>
      <c r="D6" s="657"/>
      <c r="E6" s="476"/>
      <c r="F6" s="658">
        <f t="shared" si="0"/>
        <v>0</v>
      </c>
      <c r="G6" s="659"/>
      <c r="H6" s="656" t="str">
        <f t="shared" si="1"/>
        <v xml:space="preserve"> </v>
      </c>
      <c r="I6" s="658" t="str">
        <f t="shared" si="2"/>
        <v xml:space="preserve"> </v>
      </c>
      <c r="J6" s="325"/>
      <c r="K6" s="473"/>
    </row>
    <row r="7" spans="1:11">
      <c r="A7" s="656" t="str">
        <f>Application!B731</f>
        <v>SRO/Studio</v>
      </c>
      <c r="B7" s="665">
        <f>Application!G731</f>
        <v>10</v>
      </c>
      <c r="C7" s="656">
        <f>Application!O731</f>
        <v>1190</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10</v>
      </c>
      <c r="C8" s="656">
        <f>Application!O732</f>
        <v>419</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10</v>
      </c>
      <c r="C9" s="656">
        <f>Application!O733</f>
        <v>759</v>
      </c>
      <c r="D9" s="657"/>
      <c r="E9" s="476"/>
      <c r="F9" s="658">
        <f t="shared" si="0"/>
        <v>0</v>
      </c>
      <c r="G9" s="659"/>
      <c r="H9" s="656" t="str">
        <f t="shared" si="1"/>
        <v xml:space="preserve"> </v>
      </c>
      <c r="I9" s="658" t="str">
        <f t="shared" si="2"/>
        <v xml:space="preserve"> </v>
      </c>
      <c r="J9" s="325"/>
      <c r="K9" s="473"/>
    </row>
    <row r="10" spans="1:11">
      <c r="A10" s="656" t="str">
        <f>Application!B734</f>
        <v>1 Bedroom</v>
      </c>
      <c r="B10" s="665">
        <f>Application!G734</f>
        <v>55</v>
      </c>
      <c r="C10" s="656">
        <f>Application!O734</f>
        <v>929</v>
      </c>
      <c r="D10" s="657"/>
      <c r="E10" s="476"/>
      <c r="F10" s="658">
        <f t="shared" si="0"/>
        <v>0</v>
      </c>
      <c r="G10" s="659"/>
      <c r="H10" s="656" t="str">
        <f t="shared" si="1"/>
        <v xml:space="preserve"> </v>
      </c>
      <c r="I10" s="658" t="str">
        <f t="shared" si="2"/>
        <v xml:space="preserve"> </v>
      </c>
      <c r="J10" s="325"/>
      <c r="K10" s="473"/>
    </row>
    <row r="11" spans="1:11">
      <c r="A11" s="656" t="str">
        <f>Application!B735</f>
        <v>1 Bedroom</v>
      </c>
      <c r="B11" s="665">
        <f>Application!G735</f>
        <v>18</v>
      </c>
      <c r="C11" s="656">
        <f>Application!O735</f>
        <v>1269</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8</v>
      </c>
      <c r="C12" s="656">
        <f>Application!O736</f>
        <v>498</v>
      </c>
      <c r="D12" s="657"/>
      <c r="E12" s="476"/>
      <c r="F12" s="658">
        <f t="shared" si="0"/>
        <v>0</v>
      </c>
      <c r="G12" s="659"/>
      <c r="H12" s="656" t="str">
        <f t="shared" si="1"/>
        <v xml:space="preserve"> </v>
      </c>
      <c r="I12" s="658" t="str">
        <f t="shared" si="2"/>
        <v xml:space="preserve"> </v>
      </c>
      <c r="J12" s="325"/>
      <c r="K12" s="473"/>
    </row>
    <row r="13" spans="1:11">
      <c r="A13" s="656" t="str">
        <f>Application!B737</f>
        <v>2 Bedrooms</v>
      </c>
      <c r="B13" s="665">
        <f>Application!G737</f>
        <v>8</v>
      </c>
      <c r="C13" s="656">
        <f>Application!O737</f>
        <v>906</v>
      </c>
      <c r="D13" s="657"/>
      <c r="E13" s="476"/>
      <c r="F13" s="658">
        <f t="shared" si="0"/>
        <v>0</v>
      </c>
      <c r="G13" s="659"/>
      <c r="H13" s="656" t="str">
        <f t="shared" si="1"/>
        <v xml:space="preserve"> </v>
      </c>
      <c r="I13" s="658" t="str">
        <f t="shared" si="2"/>
        <v xml:space="preserve"> </v>
      </c>
      <c r="J13" s="325"/>
      <c r="K13" s="473"/>
    </row>
    <row r="14" spans="1:11">
      <c r="A14" s="656" t="str">
        <f>Application!B738</f>
        <v>2 Bedrooms</v>
      </c>
      <c r="B14" s="665">
        <f>Application!G738</f>
        <v>44</v>
      </c>
      <c r="C14" s="656">
        <f>Application!O738</f>
        <v>1110</v>
      </c>
      <c r="D14" s="657"/>
      <c r="E14" s="476"/>
      <c r="F14" s="658">
        <f t="shared" si="0"/>
        <v>0</v>
      </c>
      <c r="G14" s="659"/>
      <c r="H14" s="656" t="str">
        <f t="shared" si="1"/>
        <v xml:space="preserve"> </v>
      </c>
      <c r="I14" s="658" t="str">
        <f t="shared" si="2"/>
        <v xml:space="preserve"> </v>
      </c>
      <c r="J14" s="325"/>
      <c r="K14" s="473"/>
    </row>
    <row r="15" spans="1:11">
      <c r="A15" s="656" t="str">
        <f>Application!B739</f>
        <v>2 Bedrooms</v>
      </c>
      <c r="B15" s="665">
        <f>Application!G739</f>
        <v>13</v>
      </c>
      <c r="C15" s="656">
        <f>Application!O739</f>
        <v>1518</v>
      </c>
      <c r="D15" s="657"/>
      <c r="E15" s="476"/>
      <c r="F15" s="658">
        <f t="shared" si="0"/>
        <v>0</v>
      </c>
      <c r="G15" s="659"/>
      <c r="H15" s="656" t="str">
        <f t="shared" si="1"/>
        <v xml:space="preserve"> </v>
      </c>
      <c r="I15" s="658" t="str">
        <f t="shared" si="2"/>
        <v xml:space="preserve"> </v>
      </c>
      <c r="J15" s="325"/>
      <c r="K15" s="473"/>
    </row>
    <row r="16" spans="1:11">
      <c r="A16" s="656" t="str">
        <f>Application!B740</f>
        <v>3 Bedrooms</v>
      </c>
      <c r="B16" s="665">
        <f>Application!G740</f>
        <v>7</v>
      </c>
      <c r="C16" s="656">
        <f>Application!O740</f>
        <v>567</v>
      </c>
      <c r="D16" s="657"/>
      <c r="E16" s="476"/>
      <c r="F16" s="658">
        <f t="shared" si="0"/>
        <v>0</v>
      </c>
      <c r="G16" s="659"/>
      <c r="H16" s="656" t="str">
        <f t="shared" si="1"/>
        <v xml:space="preserve"> </v>
      </c>
      <c r="I16" s="658" t="str">
        <f t="shared" si="2"/>
        <v xml:space="preserve"> </v>
      </c>
      <c r="J16" s="325"/>
      <c r="K16" s="473"/>
    </row>
    <row r="17" spans="1:11">
      <c r="A17" s="656" t="str">
        <f>Application!B741</f>
        <v>3 Bedrooms</v>
      </c>
      <c r="B17" s="665">
        <f>Application!G741</f>
        <v>7</v>
      </c>
      <c r="C17" s="656">
        <f>Application!O741</f>
        <v>1039</v>
      </c>
      <c r="D17" s="657"/>
      <c r="E17" s="476"/>
      <c r="F17" s="658">
        <f t="shared" si="0"/>
        <v>0</v>
      </c>
      <c r="G17" s="659"/>
      <c r="H17" s="656" t="str">
        <f t="shared" si="1"/>
        <v xml:space="preserve"> </v>
      </c>
      <c r="I17" s="658" t="str">
        <f t="shared" si="2"/>
        <v xml:space="preserve"> </v>
      </c>
      <c r="J17" s="325"/>
      <c r="K17" s="473"/>
    </row>
    <row r="18" spans="1:11">
      <c r="A18" s="656" t="str">
        <f>Application!B742</f>
        <v>3 Bedrooms</v>
      </c>
      <c r="B18" s="665">
        <f>Application!G742</f>
        <v>44</v>
      </c>
      <c r="C18" s="656">
        <f>Application!O742</f>
        <v>1274</v>
      </c>
      <c r="D18" s="657"/>
      <c r="E18" s="476"/>
      <c r="F18" s="658">
        <f t="shared" si="0"/>
        <v>0</v>
      </c>
      <c r="G18" s="659"/>
      <c r="H18" s="656" t="str">
        <f t="shared" si="1"/>
        <v xml:space="preserve"> </v>
      </c>
      <c r="I18" s="658" t="str">
        <f t="shared" si="2"/>
        <v xml:space="preserve"> </v>
      </c>
      <c r="J18" s="325"/>
      <c r="K18" s="473"/>
    </row>
    <row r="19" spans="1:11">
      <c r="A19" s="656" t="str">
        <f>Application!B743</f>
        <v>3 Bedrooms</v>
      </c>
      <c r="B19" s="665">
        <f>Application!G743</f>
        <v>17</v>
      </c>
      <c r="C19" s="656">
        <f>Application!O743</f>
        <v>1746</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306108</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1049</v>
      </c>
    </row>
    <row r="2" spans="1:1" ht="15.65">
      <c r="A2" s="489"/>
    </row>
    <row r="3" spans="1:1" ht="15.65">
      <c r="A3" s="490" t="s">
        <v>1044</v>
      </c>
    </row>
    <row r="4" spans="1:1" ht="15.65">
      <c r="A4" s="490" t="s">
        <v>1045</v>
      </c>
    </row>
    <row r="5" spans="1:1" ht="15.65">
      <c r="A5" s="490" t="s">
        <v>1046</v>
      </c>
    </row>
    <row r="6" spans="1:1" ht="15.65">
      <c r="A6" s="490" t="s">
        <v>1048</v>
      </c>
    </row>
    <row r="7" spans="1:1" ht="15.65">
      <c r="A7" s="490" t="s">
        <v>1047</v>
      </c>
    </row>
    <row r="8" spans="1:1" ht="15.65">
      <c r="A8" s="536" t="s">
        <v>1133</v>
      </c>
    </row>
    <row r="9" spans="1:1" ht="15.6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349999999999994"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2300000</v>
      </c>
      <c r="C5" s="421">
        <f>'Sources and Uses Budget'!$C4</f>
        <v>2300000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2305000</v>
      </c>
      <c r="C9" s="425">
        <f>SUM(C5:C8)</f>
        <v>2305000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216000</v>
      </c>
      <c r="C11" s="421">
        <f>'Sources and Uses Budget'!$C10</f>
        <v>216000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216000</v>
      </c>
      <c r="C12" s="425">
        <f>SUM(C10:C11)</f>
        <v>216000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2521000</v>
      </c>
      <c r="C13" s="425">
        <f>SUM(C9+C12)</f>
        <v>2521000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393212</v>
      </c>
      <c r="C14" s="421">
        <f>'Sources and Uses Budget'!$C13</f>
        <v>393212</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4410000</v>
      </c>
      <c r="C30" s="421">
        <f>'Sources and Uses Budget'!$C29</f>
        <v>4410000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53640000</v>
      </c>
      <c r="C31" s="421">
        <f>'Sources and Uses Budget'!$C30</f>
        <v>53640000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3495960</v>
      </c>
      <c r="C32" s="421">
        <f>'Sources and Uses Budget'!$C31</f>
        <v>3495960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1235239</v>
      </c>
      <c r="C33" s="421">
        <f>'Sources and Uses Budget'!$C32</f>
        <v>1235239</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3705718</v>
      </c>
      <c r="C34" s="421">
        <f>'Sources and Uses Budget'!$C33</f>
        <v>3705718</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551500</v>
      </c>
      <c r="C36" s="421">
        <f>'Sources and Uses Budget'!$C35</f>
        <v>551500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67038417</v>
      </c>
      <c r="C39" s="425">
        <f>SUM(C30:C38)</f>
        <v>67038417</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650000</v>
      </c>
      <c r="C41" s="421">
        <f>'Sources and Uses Budget'!$C40</f>
        <v>650000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150000</v>
      </c>
      <c r="C42" s="421">
        <f>'Sources and Uses Budget'!$C41</f>
        <v>150000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800000</v>
      </c>
      <c r="C43" s="425">
        <f>SUM(C41:C42)</f>
        <v>800000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290000</v>
      </c>
      <c r="C44" s="421">
        <f>'Sources and Uses Budget'!$C43</f>
        <v>290000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3780000</v>
      </c>
      <c r="C46" s="421">
        <f>'Sources and Uses Budget'!$C45</f>
        <v>3780000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427500</v>
      </c>
      <c r="C47" s="421">
        <f>'Sources and Uses Budget'!$C46</f>
        <v>427500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100000</v>
      </c>
      <c r="C50" s="421">
        <f>'Sources and Uses Budget'!$C49</f>
        <v>100000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100000</v>
      </c>
      <c r="C51" s="421">
        <f>'Sources and Uses Budget'!$C50</f>
        <v>100000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120000</v>
      </c>
      <c r="C52" s="421">
        <f>'Sources and Uses Budget'!$C51</f>
        <v>120000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500000</v>
      </c>
      <c r="C53" s="421">
        <f>'Sources and Uses Budget'!$C52</f>
        <v>500000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120000</v>
      </c>
      <c r="C54" s="421">
        <f>'Sources and Uses Budget'!$C53</f>
        <v>120000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5147500</v>
      </c>
      <c r="C55" s="428">
        <f>SUM(C46:C54)</f>
        <v>5147500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122500</v>
      </c>
      <c r="C57" s="421">
        <f>'Sources and Uses Budget'!$C56</f>
        <v>122500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40000</v>
      </c>
      <c r="C58" s="421">
        <f>'Sources and Uses Budget'!$C57</f>
        <v>40000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Bond Counsel</v>
      </c>
      <c r="B62" s="421">
        <f>'Sources and Uses Budget'!$C61</f>
        <v>80000</v>
      </c>
      <c r="C62" s="421">
        <f>'Sources and Uses Budget'!$C61</f>
        <v>80000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252500</v>
      </c>
      <c r="C63" s="425">
        <f>SUM(C57:C62)</f>
        <v>252500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76442629</v>
      </c>
      <c r="C64" s="425">
        <f>SUM(C9+C12+C14+C15+C17+C26+C28+C39+C43+C44+C55+C63)</f>
        <v>76442629</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100000</v>
      </c>
      <c r="C66" s="421">
        <f>'Sources and Uses Budget'!$C65</f>
        <v>100000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100000</v>
      </c>
      <c r="C71" s="425">
        <f>SUM(C66:C70)</f>
        <v>100000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819939</v>
      </c>
      <c r="C76" s="421">
        <f>'Sources and Uses Budget'!$C75</f>
        <v>819939</v>
      </c>
      <c r="D76" s="425">
        <f t="shared" si="0"/>
        <v>0</v>
      </c>
      <c r="E76" s="423"/>
      <c r="F76" s="422"/>
      <c r="G76" s="551"/>
    </row>
    <row r="77" spans="1:253" s="545" customFormat="1">
      <c r="A77" s="427" t="s">
        <v>35</v>
      </c>
      <c r="B77" s="421">
        <f>'Sources and Uses Budget'!$C76</f>
        <v>500000</v>
      </c>
      <c r="C77" s="421">
        <f>'Sources and Uses Budget'!$C76</f>
        <v>500000</v>
      </c>
      <c r="D77" s="425">
        <f t="shared" si="0"/>
        <v>0</v>
      </c>
      <c r="E77" s="423"/>
      <c r="F77" s="422"/>
      <c r="G77" s="551"/>
    </row>
    <row r="78" spans="1:253" s="545" customFormat="1" ht="13.1">
      <c r="A78" s="426" t="s">
        <v>641</v>
      </c>
      <c r="B78" s="425">
        <f>SUM(B73:B77)</f>
        <v>1319939</v>
      </c>
      <c r="C78" s="425">
        <f>SUM(C73:C77)</f>
        <v>1319939</v>
      </c>
      <c r="D78" s="425">
        <f t="shared" ref="D78:D106" si="1">C78-B78</f>
        <v>0</v>
      </c>
      <c r="E78" s="423"/>
      <c r="F78" s="422"/>
      <c r="G78" s="551"/>
    </row>
    <row r="79" spans="1:253" s="545" customFormat="1" ht="13.1">
      <c r="A79" s="419" t="s">
        <v>1415</v>
      </c>
      <c r="B79" s="419"/>
      <c r="C79" s="419"/>
      <c r="D79" s="419"/>
      <c r="E79" s="439"/>
      <c r="F79" s="419"/>
      <c r="G79" s="551"/>
    </row>
    <row r="80" spans="1:253" s="545" customFormat="1">
      <c r="A80" s="859" t="s">
        <v>1417</v>
      </c>
      <c r="B80" s="421">
        <f>'Sources and Uses Budget'!$C79</f>
        <v>3400000</v>
      </c>
      <c r="C80" s="421">
        <f>'Sources and Uses Budget'!$C79</f>
        <v>3400000</v>
      </c>
      <c r="D80" s="425">
        <f t="shared" si="1"/>
        <v>0</v>
      </c>
      <c r="E80" s="423"/>
      <c r="F80" s="422"/>
      <c r="G80" s="551"/>
    </row>
    <row r="81" spans="1:7" s="545" customFormat="1">
      <c r="A81" s="859" t="s">
        <v>61</v>
      </c>
      <c r="B81" s="421">
        <f>'Sources and Uses Budget'!$C80</f>
        <v>800000</v>
      </c>
      <c r="C81" s="421">
        <f>'Sources and Uses Budget'!$C80</f>
        <v>800000</v>
      </c>
      <c r="D81" s="425">
        <f>C81-B81</f>
        <v>0</v>
      </c>
      <c r="E81" s="423"/>
      <c r="F81" s="422"/>
      <c r="G81" s="551"/>
    </row>
    <row r="82" spans="1:7" s="545" customFormat="1" ht="13.1">
      <c r="A82" s="426" t="s">
        <v>1414</v>
      </c>
      <c r="B82" s="425">
        <f>SUM(B80:B81)</f>
        <v>4200000</v>
      </c>
      <c r="C82" s="425">
        <f>SUM(C80:C81)</f>
        <v>4200000</v>
      </c>
      <c r="D82" s="425">
        <f t="shared" si="1"/>
        <v>0</v>
      </c>
      <c r="E82" s="423"/>
      <c r="F82" s="422"/>
      <c r="G82" s="551"/>
    </row>
    <row r="83" spans="1:7" s="545" customFormat="1" ht="13.1">
      <c r="A83" s="419" t="s">
        <v>823</v>
      </c>
      <c r="B83" s="419"/>
      <c r="C83" s="419"/>
      <c r="D83" s="419"/>
      <c r="E83" s="439"/>
      <c r="F83" s="419"/>
      <c r="G83" s="551"/>
    </row>
    <row r="84" spans="1:7" s="545" customFormat="1" ht="13.75" customHeight="1">
      <c r="A84" s="424" t="s">
        <v>824</v>
      </c>
      <c r="B84" s="421">
        <f>'Sources and Uses Budget'!$C83</f>
        <v>176418</v>
      </c>
      <c r="C84" s="421">
        <f>'Sources and Uses Budget'!$C83</f>
        <v>176418</v>
      </c>
      <c r="D84" s="425">
        <f t="shared" si="1"/>
        <v>0</v>
      </c>
      <c r="E84" s="423"/>
      <c r="F84" s="422"/>
      <c r="G84" s="551"/>
    </row>
    <row r="85" spans="1:7" s="545" customFormat="1">
      <c r="A85" s="424" t="s">
        <v>825</v>
      </c>
      <c r="B85" s="421">
        <f>'Sources and Uses Budget'!$C84</f>
        <v>10000</v>
      </c>
      <c r="C85" s="421">
        <f>'Sources and Uses Budget'!$C84</f>
        <v>10000</v>
      </c>
      <c r="D85" s="425">
        <f t="shared" si="1"/>
        <v>0</v>
      </c>
      <c r="E85" s="423"/>
      <c r="F85" s="422"/>
      <c r="G85" s="551"/>
    </row>
    <row r="86" spans="1:7" s="545" customFormat="1">
      <c r="A86" s="424" t="s">
        <v>826</v>
      </c>
      <c r="B86" s="421">
        <f>'Sources and Uses Budget'!$C85</f>
        <v>13556525</v>
      </c>
      <c r="C86" s="421">
        <f>'Sources and Uses Budget'!$C85</f>
        <v>13556525</v>
      </c>
      <c r="D86" s="425">
        <f t="shared" si="1"/>
        <v>0</v>
      </c>
      <c r="E86" s="423"/>
      <c r="F86" s="422"/>
      <c r="G86" s="551"/>
    </row>
    <row r="87" spans="1:7" s="545" customFormat="1">
      <c r="A87" s="424" t="s">
        <v>827</v>
      </c>
      <c r="B87" s="421">
        <f>'Sources and Uses Budget'!$C86</f>
        <v>700000</v>
      </c>
      <c r="C87" s="421">
        <f>'Sources and Uses Budget'!$C86</f>
        <v>700000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172097</v>
      </c>
      <c r="C89" s="421">
        <f>'Sources and Uses Budget'!$C88</f>
        <v>172097</v>
      </c>
      <c r="D89" s="425">
        <f t="shared" si="1"/>
        <v>0</v>
      </c>
      <c r="E89" s="423"/>
      <c r="F89" s="422"/>
      <c r="G89" s="551"/>
    </row>
    <row r="90" spans="1:7" s="545" customFormat="1">
      <c r="A90" s="424" t="s">
        <v>830</v>
      </c>
      <c r="B90" s="421">
        <f>'Sources and Uses Budget'!$C89</f>
        <v>60000</v>
      </c>
      <c r="C90" s="421">
        <f>'Sources and Uses Budget'!$C89</f>
        <v>60000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15000</v>
      </c>
      <c r="C92" s="421">
        <f>'Sources and Uses Budget'!$C91</f>
        <v>15000</v>
      </c>
      <c r="D92" s="425">
        <f t="shared" si="1"/>
        <v>0</v>
      </c>
      <c r="E92" s="423"/>
      <c r="F92" s="422"/>
      <c r="G92" s="551"/>
    </row>
    <row r="93" spans="1:7" s="545" customFormat="1">
      <c r="A93" s="858" t="s">
        <v>1416</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832</v>
      </c>
      <c r="B97" s="425">
        <f>SUM(B84:B96)</f>
        <v>14710040</v>
      </c>
      <c r="C97" s="425">
        <f>SUM(C84:C96)</f>
        <v>14710040</v>
      </c>
      <c r="D97" s="425">
        <f t="shared" si="1"/>
        <v>0</v>
      </c>
      <c r="E97" s="423"/>
      <c r="F97" s="422"/>
      <c r="G97" s="551"/>
    </row>
    <row r="98" spans="1:7" s="545" customFormat="1" ht="13.1">
      <c r="A98" s="426" t="s">
        <v>833</v>
      </c>
      <c r="B98" s="425">
        <f>SUM(B64+B71+B78+B82+B97)</f>
        <v>96772608</v>
      </c>
      <c r="C98" s="425">
        <f>SUM(C64+C71+C78+C82+C97)</f>
        <v>96772608</v>
      </c>
      <c r="D98" s="425">
        <f t="shared" si="1"/>
        <v>0</v>
      </c>
      <c r="E98" s="423"/>
      <c r="F98" s="422"/>
      <c r="G98" s="551"/>
    </row>
    <row r="99" spans="1:7" s="545" customFormat="1" ht="13.1">
      <c r="A99" s="419" t="s">
        <v>834</v>
      </c>
      <c r="B99" s="419"/>
      <c r="C99" s="419"/>
      <c r="D99" s="419"/>
      <c r="E99" s="439"/>
      <c r="F99" s="419"/>
      <c r="G99" s="551"/>
    </row>
    <row r="100" spans="1:7" s="544" customFormat="1">
      <c r="A100" s="215" t="s">
        <v>835</v>
      </c>
      <c r="B100" s="421">
        <f>'Sources and Uses Budget'!$C99</f>
        <v>13823016</v>
      </c>
      <c r="C100" s="421">
        <f>'Sources and Uses Budget'!$C99</f>
        <v>13823016</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837</v>
      </c>
      <c r="B105" s="425">
        <f>SUM(B100:B104)</f>
        <v>13823016</v>
      </c>
      <c r="C105" s="425">
        <f>SUM(C100:C104)</f>
        <v>13823016</v>
      </c>
      <c r="D105" s="425">
        <f t="shared" si="1"/>
        <v>0</v>
      </c>
      <c r="E105" s="423"/>
      <c r="F105" s="422"/>
      <c r="G105" s="549"/>
    </row>
    <row r="106" spans="1:7" s="544" customFormat="1" ht="13.1">
      <c r="A106" s="426" t="s">
        <v>838</v>
      </c>
      <c r="B106" s="428">
        <f>SUM(B98+B105)</f>
        <v>110595624</v>
      </c>
      <c r="C106" s="428">
        <f>SUM(C98+C105)</f>
        <v>110595624</v>
      </c>
      <c r="D106" s="425">
        <f t="shared" si="1"/>
        <v>0</v>
      </c>
      <c r="E106" s="423"/>
      <c r="F106" s="422"/>
      <c r="G106" s="549"/>
    </row>
    <row r="107" spans="1:7" s="544" customFormat="1" ht="13.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71" t="s">
        <v>1154</v>
      </c>
      <c r="B2" s="1871"/>
      <c r="C2" s="1872"/>
      <c r="D2" s="1872"/>
      <c r="E2" s="1872"/>
      <c r="F2" s="1872"/>
      <c r="G2" s="1872"/>
    </row>
    <row r="3" spans="1:9" s="256" customFormat="1" ht="13.1">
      <c r="A3" s="1871" t="s">
        <v>1084</v>
      </c>
      <c r="B3" s="1871"/>
      <c r="C3" s="1872"/>
      <c r="D3" s="1872"/>
      <c r="E3" s="1872"/>
      <c r="F3" s="1872"/>
      <c r="G3" s="1872"/>
      <c r="I3" s="675" t="s">
        <v>316</v>
      </c>
    </row>
    <row r="4" spans="1:9">
      <c r="I4" s="676" t="s">
        <v>1155</v>
      </c>
    </row>
    <row r="5" spans="1:9" s="39" customFormat="1" ht="13.1">
      <c r="A5" s="1875" t="s">
        <v>1085</v>
      </c>
      <c r="B5" s="1875"/>
      <c r="C5" s="1876"/>
      <c r="D5" s="1876"/>
      <c r="E5" s="1876"/>
      <c r="F5" s="1876"/>
      <c r="G5" s="1876"/>
      <c r="I5" s="676" t="s">
        <v>1156</v>
      </c>
    </row>
    <row r="6" spans="1:9" s="39" customFormat="1" ht="13.1">
      <c r="A6" s="1875" t="s">
        <v>880</v>
      </c>
      <c r="B6" s="1875"/>
      <c r="C6" s="1876"/>
      <c r="D6" s="1876"/>
      <c r="E6" s="1876"/>
      <c r="F6" s="1876"/>
      <c r="G6" s="1876"/>
      <c r="I6" s="675" t="s">
        <v>626</v>
      </c>
    </row>
    <row r="7" spans="1:9" ht="11.85" customHeight="1"/>
    <row r="8" spans="1:9" s="39" customFormat="1" ht="13.1">
      <c r="A8" s="1873" t="s">
        <v>1251</v>
      </c>
      <c r="B8" s="1873"/>
      <c r="C8" s="1874"/>
      <c r="D8" s="1874"/>
      <c r="E8" s="1874"/>
      <c r="F8" s="1874"/>
      <c r="G8" s="1874"/>
    </row>
    <row r="9" spans="1:9" s="39" customFormat="1" ht="13.1">
      <c r="A9" s="1873" t="s">
        <v>1252</v>
      </c>
      <c r="B9" s="1873"/>
      <c r="C9" s="1874"/>
      <c r="D9" s="1874"/>
      <c r="E9" s="1874"/>
      <c r="F9" s="1874"/>
      <c r="G9" s="1874"/>
    </row>
    <row r="10" spans="1:9" ht="13.1">
      <c r="A10" s="258"/>
      <c r="B10" s="258"/>
      <c r="C10" s="255"/>
      <c r="D10" s="255"/>
      <c r="E10" s="255"/>
      <c r="F10" s="255"/>
    </row>
    <row r="11" spans="1:9" ht="13.1">
      <c r="A11" s="1877" t="s">
        <v>1254</v>
      </c>
      <c r="B11" s="1877"/>
      <c r="C11" s="1877"/>
      <c r="D11" s="1877"/>
      <c r="E11" s="1877"/>
      <c r="F11" s="1877"/>
      <c r="G11" s="1877"/>
    </row>
    <row r="12" spans="1:9" ht="13.1">
      <c r="A12" s="255"/>
      <c r="B12" s="671"/>
      <c r="E12" s="50"/>
    </row>
    <row r="13" spans="1:9" ht="13.1" customHeight="1">
      <c r="C13" s="255"/>
      <c r="D13" s="1895" t="s">
        <v>1253</v>
      </c>
      <c r="E13" s="1895"/>
      <c r="F13" s="1895"/>
    </row>
    <row r="14" spans="1:9" ht="13.1">
      <c r="C14" s="255"/>
      <c r="D14" s="1895"/>
      <c r="E14" s="1895"/>
      <c r="F14" s="1895"/>
    </row>
    <row r="15" spans="1:9" ht="13.1">
      <c r="A15" s="260"/>
      <c r="B15" s="260"/>
      <c r="C15" s="260"/>
      <c r="D15" s="1834" t="s">
        <v>1236</v>
      </c>
      <c r="E15" s="1834"/>
      <c r="F15" s="1834"/>
    </row>
    <row r="16" spans="1:9" ht="13.1">
      <c r="A16" s="260"/>
      <c r="B16" s="260"/>
      <c r="C16" s="260"/>
      <c r="D16" s="327"/>
    </row>
    <row r="17" spans="1:7" ht="13.1">
      <c r="A17" s="261"/>
      <c r="B17" s="677" t="s">
        <v>316</v>
      </c>
      <c r="C17" s="313"/>
      <c r="D17" s="1821" t="s">
        <v>1237</v>
      </c>
      <c r="E17" s="1821"/>
      <c r="F17" s="1821"/>
    </row>
    <row r="18" spans="1:7" ht="13.1">
      <c r="A18" s="260"/>
      <c r="B18" s="260"/>
      <c r="C18" s="313"/>
      <c r="D18" s="1821"/>
      <c r="E18" s="1821"/>
      <c r="F18" s="1821"/>
    </row>
    <row r="19" spans="1:7" ht="13.1">
      <c r="A19" s="260"/>
      <c r="B19" s="260"/>
      <c r="C19" s="313"/>
      <c r="D19" s="1821"/>
      <c r="E19" s="1821"/>
      <c r="F19" s="1821"/>
    </row>
    <row r="20" spans="1:7" ht="13.1">
      <c r="A20" s="260"/>
      <c r="B20" s="260"/>
      <c r="C20" s="260"/>
    </row>
    <row r="21" spans="1:7" ht="13.1">
      <c r="A21" s="261"/>
      <c r="B21" s="677" t="s">
        <v>316</v>
      </c>
      <c r="D21" s="1887" t="s">
        <v>1238</v>
      </c>
      <c r="E21" s="1887"/>
      <c r="F21" s="1887"/>
    </row>
    <row r="22" spans="1:7" ht="13.1">
      <c r="A22" s="261"/>
      <c r="B22" s="261"/>
      <c r="D22" s="135"/>
    </row>
    <row r="23" spans="1:7" ht="13.1">
      <c r="A23" s="261"/>
      <c r="B23" s="677" t="s">
        <v>316</v>
      </c>
      <c r="D23" s="1821" t="s">
        <v>1239</v>
      </c>
      <c r="E23" s="1821"/>
      <c r="F23" s="1821"/>
    </row>
    <row r="24" spans="1:7" ht="13.1">
      <c r="A24" s="261"/>
      <c r="B24" s="261"/>
      <c r="D24" s="1821"/>
      <c r="E24" s="1821"/>
      <c r="F24" s="1821"/>
    </row>
    <row r="25" spans="1:7"/>
    <row r="26" spans="1:7" ht="13.1">
      <c r="A26" s="261"/>
      <c r="B26" s="677" t="s">
        <v>316</v>
      </c>
      <c r="D26" s="1856" t="s">
        <v>1240</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316</v>
      </c>
      <c r="C32" s="273"/>
      <c r="D32" s="1822" t="s">
        <v>1241</v>
      </c>
      <c r="E32" s="1822"/>
      <c r="F32" s="1822"/>
      <c r="G32" s="130"/>
    </row>
    <row r="33" spans="1:7" s="39" customFormat="1">
      <c r="A33" s="273"/>
      <c r="B33" s="273"/>
      <c r="C33" s="273"/>
      <c r="D33" s="1822"/>
      <c r="E33" s="1822"/>
      <c r="F33" s="1822"/>
      <c r="G33" s="130"/>
    </row>
    <row r="34" spans="1:7" ht="13.1">
      <c r="A34" s="261"/>
      <c r="B34" s="261"/>
      <c r="D34" s="404"/>
    </row>
    <row r="35" spans="1:7" ht="14.5" customHeight="1">
      <c r="A35" s="261"/>
      <c r="B35" s="677" t="s">
        <v>316</v>
      </c>
      <c r="C35" s="552"/>
      <c r="D35" s="1822" t="s">
        <v>1242</v>
      </c>
      <c r="E35" s="1822"/>
      <c r="F35" s="1822"/>
    </row>
    <row r="36" spans="1:7" ht="13.1">
      <c r="A36" s="261"/>
      <c r="B36" s="261"/>
      <c r="C36" s="552"/>
      <c r="D36" s="1822"/>
      <c r="E36" s="1822"/>
      <c r="F36" s="1822"/>
    </row>
    <row r="37" spans="1:7" ht="13.1">
      <c r="A37" s="261"/>
      <c r="B37" s="261"/>
      <c r="C37" s="552"/>
      <c r="D37" s="1822"/>
      <c r="E37" s="1822"/>
      <c r="F37" s="1822"/>
    </row>
    <row r="38" spans="1:7" ht="13.1">
      <c r="A38" s="261"/>
      <c r="B38" s="261"/>
      <c r="C38" s="552"/>
      <c r="D38" s="12"/>
    </row>
    <row r="39" spans="1:7" s="680" customFormat="1" ht="13.1">
      <c r="A39" s="261"/>
      <c r="B39" s="677" t="s">
        <v>316</v>
      </c>
      <c r="C39" s="697"/>
      <c r="D39" s="1822" t="s">
        <v>1243</v>
      </c>
      <c r="E39" s="1822"/>
      <c r="F39" s="1822"/>
      <c r="G39" s="7"/>
    </row>
    <row r="40" spans="1:7" s="680" customFormat="1" ht="13.1">
      <c r="A40" s="261"/>
      <c r="B40" s="261"/>
      <c r="C40" s="697"/>
      <c r="D40" s="1822"/>
      <c r="E40" s="1822"/>
      <c r="F40" s="1822"/>
      <c r="G40" s="7"/>
    </row>
    <row r="41" spans="1:7" s="680" customFormat="1" ht="13.1">
      <c r="A41" s="261"/>
      <c r="B41" s="261"/>
      <c r="C41" s="697"/>
      <c r="D41" s="1822"/>
      <c r="E41" s="1822"/>
      <c r="F41" s="1822"/>
      <c r="G41" s="7"/>
    </row>
    <row r="42" spans="1:7" s="680" customFormat="1" ht="13.1">
      <c r="A42" s="261"/>
      <c r="B42" s="261"/>
      <c r="C42" s="697"/>
      <c r="D42" s="1822"/>
      <c r="E42" s="1822"/>
      <c r="F42" s="1822"/>
      <c r="G42" s="7"/>
    </row>
    <row r="43" spans="1:7" s="680" customFormat="1" ht="13.1">
      <c r="A43" s="261"/>
      <c r="B43" s="261"/>
      <c r="C43" s="697"/>
      <c r="D43" s="1822"/>
      <c r="E43" s="1822"/>
      <c r="F43" s="1822"/>
      <c r="G43" s="7"/>
    </row>
    <row r="44" spans="1:7" s="680" customFormat="1" ht="13.1">
      <c r="A44" s="261"/>
      <c r="B44" s="261"/>
      <c r="C44" s="697"/>
      <c r="D44" s="696"/>
      <c r="E44" s="696"/>
      <c r="F44" s="696"/>
      <c r="G44" s="7"/>
    </row>
    <row r="45" spans="1:7" ht="13.1">
      <c r="A45" s="261"/>
      <c r="B45" s="677" t="s">
        <v>316</v>
      </c>
      <c r="C45" s="552"/>
      <c r="D45" s="1822" t="s">
        <v>1244</v>
      </c>
      <c r="E45" s="1822"/>
      <c r="F45" s="1822"/>
    </row>
    <row r="46" spans="1:7" ht="13.1">
      <c r="A46" s="261"/>
      <c r="B46" s="261"/>
      <c r="C46" s="552"/>
      <c r="D46" s="1822"/>
      <c r="E46" s="1822"/>
      <c r="F46" s="1822"/>
    </row>
    <row r="47" spans="1:7" ht="13.1">
      <c r="A47" s="261"/>
      <c r="B47" s="261"/>
      <c r="C47" s="552"/>
      <c r="D47" s="1822"/>
      <c r="E47" s="1822"/>
      <c r="F47" s="1822"/>
    </row>
    <row r="48" spans="1:7" ht="23.3" customHeight="1">
      <c r="A48" s="261"/>
      <c r="B48" s="261"/>
      <c r="C48" s="552"/>
      <c r="D48" s="1822"/>
      <c r="E48" s="1822"/>
      <c r="F48" s="1822"/>
    </row>
    <row r="49" spans="1:7" ht="13.1">
      <c r="A49" s="261"/>
      <c r="B49" s="261"/>
      <c r="D49" s="151"/>
    </row>
    <row r="50" spans="1:7" ht="14.5" customHeight="1">
      <c r="A50" s="261"/>
      <c r="B50" s="677" t="s">
        <v>316</v>
      </c>
      <c r="D50" s="1822" t="s">
        <v>1245</v>
      </c>
      <c r="E50" s="1822"/>
      <c r="F50" s="1822"/>
    </row>
    <row r="51" spans="1:7" ht="13.1">
      <c r="A51" s="261"/>
      <c r="B51" s="261"/>
      <c r="D51" s="1822"/>
      <c r="E51" s="1822"/>
      <c r="F51" s="1822"/>
    </row>
    <row r="52" spans="1:7" ht="13.1">
      <c r="A52" s="261"/>
      <c r="B52" s="261"/>
      <c r="D52" s="1822"/>
      <c r="E52" s="1822"/>
      <c r="F52" s="1822"/>
    </row>
    <row r="53" spans="1:7" s="2" customFormat="1" ht="13.1">
      <c r="A53" s="261"/>
      <c r="B53" s="261"/>
      <c r="C53" s="554"/>
      <c r="D53" s="239"/>
      <c r="E53" s="22"/>
      <c r="F53" s="22"/>
      <c r="G53" s="22"/>
    </row>
    <row r="54" spans="1:7" s="2" customFormat="1" ht="13.1">
      <c r="A54" s="403"/>
      <c r="B54" s="677" t="s">
        <v>316</v>
      </c>
      <c r="C54" s="555"/>
      <c r="D54" s="1822" t="s">
        <v>1246</v>
      </c>
      <c r="E54" s="1822"/>
      <c r="F54" s="1822"/>
      <c r="G54" s="22"/>
    </row>
    <row r="55" spans="1:7" s="2" customFormat="1" ht="13.1">
      <c r="A55" s="403"/>
      <c r="B55" s="403"/>
      <c r="C55" s="555"/>
      <c r="D55" s="1822"/>
      <c r="E55" s="1822"/>
      <c r="F55" s="1822"/>
      <c r="G55" s="22"/>
    </row>
    <row r="56" spans="1:7" s="39" customFormat="1">
      <c r="A56" s="273"/>
      <c r="B56" s="273"/>
      <c r="C56" s="273"/>
      <c r="D56" s="443"/>
      <c r="E56" s="130"/>
      <c r="F56" s="130"/>
      <c r="G56" s="130"/>
    </row>
    <row r="57" spans="1:7" ht="13.1">
      <c r="A57" s="261"/>
      <c r="B57" s="677" t="s">
        <v>316</v>
      </c>
      <c r="D57" s="1822" t="s">
        <v>1247</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ht="13.1">
      <c r="A61" s="261"/>
      <c r="B61" s="677" t="s">
        <v>316</v>
      </c>
      <c r="D61" s="1822" t="s">
        <v>1248</v>
      </c>
      <c r="E61" s="1822"/>
      <c r="F61" s="1822"/>
    </row>
    <row r="62" spans="1:7">
      <c r="D62" s="1822"/>
      <c r="E62" s="1822"/>
      <c r="F62" s="1822"/>
    </row>
    <row r="63" spans="1:7"/>
    <row r="64" spans="1:7" ht="13.1">
      <c r="A64" s="261"/>
      <c r="B64" s="677" t="s">
        <v>316</v>
      </c>
      <c r="D64" s="1822" t="s">
        <v>1249</v>
      </c>
      <c r="E64" s="1822"/>
      <c r="F64" s="1822"/>
    </row>
    <row r="65" spans="1:7">
      <c r="D65" s="1822"/>
      <c r="E65" s="1822"/>
      <c r="F65" s="1822"/>
    </row>
    <row r="66" spans="1:7">
      <c r="A66" s="553"/>
      <c r="C66" s="553"/>
      <c r="D66" s="1822"/>
      <c r="E66" s="1822"/>
      <c r="F66" s="1822"/>
    </row>
    <row r="67" spans="1:7">
      <c r="D67" s="12"/>
    </row>
    <row r="68" spans="1:7" ht="13.1">
      <c r="A68" s="261"/>
      <c r="B68" s="677" t="s">
        <v>316</v>
      </c>
      <c r="D68" s="1821" t="s">
        <v>1250</v>
      </c>
      <c r="E68" s="1821"/>
      <c r="F68" s="1821"/>
    </row>
    <row r="69" spans="1:7">
      <c r="D69" s="1821"/>
      <c r="E69" s="1821"/>
      <c r="F69" s="1821"/>
    </row>
    <row r="70" spans="1:7" ht="13.1">
      <c r="A70" s="261"/>
      <c r="B70" s="261"/>
      <c r="D70" s="135"/>
    </row>
    <row r="71" spans="1:7" ht="13.1">
      <c r="A71" s="1841" t="s">
        <v>1157</v>
      </c>
      <c r="B71" s="1841"/>
      <c r="C71" s="1841"/>
      <c r="D71" s="1841"/>
      <c r="E71" s="1841"/>
      <c r="F71" s="1841"/>
      <c r="G71" s="1841"/>
    </row>
    <row r="72" spans="1:7"/>
    <row r="73" spans="1:7" ht="13.1">
      <c r="C73" s="262"/>
      <c r="D73" s="1870" t="s">
        <v>1255</v>
      </c>
      <c r="E73" s="1870"/>
      <c r="F73" s="1870"/>
    </row>
    <row r="74" spans="1:7">
      <c r="A74" s="135"/>
      <c r="B74" s="135"/>
      <c r="D74" s="1821" t="s">
        <v>1282</v>
      </c>
      <c r="E74" s="1821"/>
      <c r="F74" s="1821"/>
    </row>
    <row r="75" spans="1:7">
      <c r="A75" s="135"/>
      <c r="B75" s="135"/>
    </row>
    <row r="76" spans="1:7" ht="13.1">
      <c r="A76" s="261"/>
      <c r="B76" s="677" t="s">
        <v>316</v>
      </c>
      <c r="D76" s="1821" t="s">
        <v>1256</v>
      </c>
      <c r="E76" s="1821"/>
      <c r="F76" s="1821"/>
    </row>
    <row r="77" spans="1:7" ht="13.1">
      <c r="A77" s="261"/>
      <c r="B77" s="261"/>
      <c r="D77" s="1821"/>
      <c r="E77" s="1821"/>
      <c r="F77" s="1821"/>
    </row>
    <row r="78" spans="1:7" ht="13.1">
      <c r="A78" s="261"/>
      <c r="B78" s="261"/>
      <c r="D78" s="1821"/>
      <c r="E78" s="1821"/>
      <c r="F78" s="1821"/>
    </row>
    <row r="79" spans="1:7" ht="13.1">
      <c r="A79" s="261"/>
      <c r="B79" s="261"/>
      <c r="D79" s="1821"/>
      <c r="E79" s="1821"/>
      <c r="F79" s="1821"/>
    </row>
    <row r="80" spans="1:7" ht="13.1">
      <c r="A80" s="261"/>
      <c r="B80" s="261"/>
      <c r="D80" s="1821"/>
      <c r="E80" s="1821"/>
      <c r="F80" s="1821"/>
    </row>
    <row r="81" spans="1:7" ht="13.1">
      <c r="A81" s="261"/>
      <c r="B81" s="261"/>
      <c r="D81" s="1821"/>
      <c r="E81" s="1821"/>
      <c r="F81" s="1821"/>
    </row>
    <row r="82" spans="1:7" s="704" customFormat="1" ht="13.1">
      <c r="A82" s="705"/>
      <c r="B82" s="705"/>
      <c r="C82" s="703"/>
      <c r="D82" s="707"/>
      <c r="E82" s="707"/>
      <c r="F82" s="707"/>
      <c r="G82" s="7"/>
    </row>
    <row r="83" spans="1:7" s="704" customFormat="1" ht="14.5" customHeight="1">
      <c r="A83" s="705"/>
      <c r="B83" s="710" t="s">
        <v>316</v>
      </c>
      <c r="C83" s="703"/>
      <c r="D83" s="1850" t="s">
        <v>1355</v>
      </c>
      <c r="E83" s="1850"/>
      <c r="F83" s="1850"/>
      <c r="G83" s="7"/>
    </row>
    <row r="84" spans="1:7" s="704" customFormat="1" ht="13.1">
      <c r="A84" s="705"/>
      <c r="B84" s="705"/>
      <c r="C84" s="703"/>
      <c r="D84" s="1850"/>
      <c r="E84" s="1850"/>
      <c r="F84" s="1850"/>
      <c r="G84" s="7"/>
    </row>
    <row r="85" spans="1:7" s="704" customFormat="1" ht="13.1">
      <c r="A85" s="705"/>
      <c r="B85" s="705"/>
      <c r="C85" s="703"/>
      <c r="D85" s="1850"/>
      <c r="E85" s="1850"/>
      <c r="F85" s="1850"/>
      <c r="G85" s="7"/>
    </row>
    <row r="86" spans="1:7" s="704" customFormat="1" ht="13.1">
      <c r="A86" s="705"/>
      <c r="B86" s="705"/>
      <c r="C86" s="703"/>
      <c r="D86" s="1850"/>
      <c r="E86" s="1850"/>
      <c r="F86" s="1850"/>
      <c r="G86" s="7"/>
    </row>
    <row r="87" spans="1:7" s="704" customFormat="1" ht="13.1">
      <c r="A87" s="705"/>
      <c r="B87" s="705"/>
      <c r="C87" s="703"/>
      <c r="D87" s="1850"/>
      <c r="E87" s="1850"/>
      <c r="F87" s="1850"/>
      <c r="G87" s="7"/>
    </row>
    <row r="88" spans="1:7" s="717" customFormat="1" ht="13.1">
      <c r="A88" s="712"/>
      <c r="B88" s="712"/>
      <c r="C88" s="743"/>
      <c r="D88" s="1850"/>
      <c r="E88" s="1850"/>
      <c r="F88" s="1850"/>
      <c r="G88" s="7"/>
    </row>
    <row r="89" spans="1:7" s="717" customFormat="1" ht="13.1">
      <c r="A89" s="712"/>
      <c r="B89" s="712"/>
      <c r="C89" s="743"/>
      <c r="D89" s="1850"/>
      <c r="E89" s="1850"/>
      <c r="F89" s="1850"/>
      <c r="G89" s="7"/>
    </row>
    <row r="90" spans="1:7" s="717" customFormat="1" ht="13.1">
      <c r="A90" s="712"/>
      <c r="B90" s="712"/>
      <c r="C90" s="743"/>
      <c r="D90" s="1850"/>
      <c r="E90" s="1850"/>
      <c r="F90" s="1850"/>
      <c r="G90" s="7"/>
    </row>
    <row r="91" spans="1:7" ht="13.1">
      <c r="A91" s="261"/>
      <c r="B91" s="261"/>
      <c r="D91" s="1850"/>
      <c r="E91" s="1850"/>
      <c r="F91" s="1850"/>
    </row>
    <row r="92" spans="1:7" ht="13.1">
      <c r="A92" s="261"/>
      <c r="B92" s="261"/>
      <c r="D92" s="1850"/>
      <c r="E92" s="1850"/>
      <c r="F92" s="1850"/>
    </row>
    <row r="93" spans="1:7" ht="13.1">
      <c r="A93" s="261"/>
      <c r="B93" s="261"/>
      <c r="D93" s="1850"/>
      <c r="E93" s="1850"/>
      <c r="F93" s="1850"/>
    </row>
    <row r="94" spans="1:7" ht="13.1">
      <c r="A94" s="261"/>
      <c r="B94" s="261"/>
      <c r="D94" s="1850"/>
      <c r="E94" s="1850"/>
      <c r="F94" s="1850"/>
    </row>
    <row r="95" spans="1:7" ht="13.1">
      <c r="A95" s="261"/>
      <c r="B95" s="261"/>
      <c r="D95" s="1850"/>
      <c r="E95" s="1850"/>
      <c r="F95" s="1850"/>
    </row>
    <row r="96" spans="1:7" ht="13.1">
      <c r="A96" s="261"/>
      <c r="B96" s="261"/>
      <c r="D96" s="1850"/>
      <c r="E96" s="1850"/>
      <c r="F96" s="1850"/>
    </row>
    <row r="97" spans="1:11" s="708" customFormat="1" ht="13.1">
      <c r="A97" s="709"/>
      <c r="B97" s="713" t="s">
        <v>316</v>
      </c>
      <c r="C97" s="703"/>
      <c r="D97" s="1821" t="s">
        <v>1257</v>
      </c>
      <c r="E97" s="1821"/>
      <c r="F97" s="1821"/>
      <c r="G97" s="7"/>
    </row>
    <row r="98" spans="1:11" s="708" customFormat="1" ht="13.1">
      <c r="A98" s="709"/>
      <c r="B98" s="709"/>
      <c r="C98" s="703"/>
      <c r="D98" s="1821"/>
      <c r="E98" s="1821"/>
      <c r="F98" s="1821"/>
      <c r="G98" s="7"/>
    </row>
    <row r="99" spans="1:11" s="708" customFormat="1" ht="13.1">
      <c r="A99" s="709"/>
      <c r="B99" s="709"/>
      <c r="C99" s="703"/>
      <c r="D99" s="1821"/>
      <c r="E99" s="1821"/>
      <c r="F99" s="1821"/>
      <c r="G99" s="7"/>
    </row>
    <row r="100" spans="1:11" s="708" customFormat="1" ht="13.1">
      <c r="A100" s="709"/>
      <c r="B100" s="709"/>
      <c r="C100" s="703"/>
      <c r="D100" s="1821"/>
      <c r="E100" s="1821"/>
      <c r="F100" s="1821"/>
      <c r="G100" s="7"/>
    </row>
    <row r="101" spans="1:11" s="708" customFormat="1" ht="13.1">
      <c r="A101" s="709"/>
      <c r="B101" s="709"/>
      <c r="C101" s="703"/>
      <c r="D101" s="1821"/>
      <c r="E101" s="1821"/>
      <c r="F101" s="1821"/>
      <c r="G101" s="7"/>
    </row>
    <row r="102" spans="1:11" s="708" customFormat="1" ht="13.1">
      <c r="A102" s="709"/>
      <c r="B102" s="709"/>
      <c r="C102" s="703"/>
      <c r="D102" s="1821"/>
      <c r="E102" s="1821"/>
      <c r="F102" s="1821"/>
      <c r="G102" s="7"/>
    </row>
    <row r="103" spans="1:11" s="708" customFormat="1" ht="13.1">
      <c r="A103" s="709"/>
      <c r="B103" s="709"/>
      <c r="C103" s="703"/>
      <c r="D103" s="1821"/>
      <c r="E103" s="1821"/>
      <c r="F103" s="1821"/>
      <c r="G103" s="7"/>
    </row>
    <row r="104" spans="1:11" s="708" customFormat="1" ht="13.1">
      <c r="A104" s="709"/>
      <c r="B104" s="709"/>
      <c r="C104" s="703"/>
      <c r="D104" s="1821"/>
      <c r="E104" s="1821"/>
      <c r="F104" s="1821"/>
      <c r="G104" s="7"/>
    </row>
    <row r="105" spans="1:11" s="711" customFormat="1" ht="13.1">
      <c r="A105" s="712"/>
      <c r="B105" s="712"/>
      <c r="C105" s="703"/>
      <c r="D105" s="714"/>
      <c r="E105" s="714"/>
      <c r="F105" s="714"/>
      <c r="G105" s="7"/>
    </row>
    <row r="106" spans="1:11" ht="13.1">
      <c r="A106" s="403"/>
      <c r="B106" s="706" t="s">
        <v>316</v>
      </c>
      <c r="C106" s="469"/>
      <c r="D106" s="1878" t="s">
        <v>1258</v>
      </c>
      <c r="E106" s="1878"/>
      <c r="F106" s="1878"/>
      <c r="G106" s="470"/>
      <c r="H106" s="468"/>
      <c r="I106" s="468"/>
      <c r="J106" s="468"/>
      <c r="K106" s="468"/>
    </row>
    <row r="107" spans="1:11" ht="13.1">
      <c r="A107" s="261"/>
      <c r="B107" s="261"/>
      <c r="C107" s="315"/>
      <c r="D107" s="1878"/>
      <c r="E107" s="1878"/>
      <c r="F107" s="1878"/>
      <c r="G107" s="470"/>
      <c r="H107" s="468"/>
      <c r="I107" s="468"/>
      <c r="J107" s="468"/>
      <c r="K107" s="468"/>
    </row>
    <row r="108" spans="1:11" ht="13.1">
      <c r="A108" s="261"/>
      <c r="B108" s="261"/>
      <c r="C108" s="315"/>
      <c r="D108" s="1878"/>
      <c r="E108" s="1878"/>
      <c r="F108" s="1878"/>
      <c r="G108" s="470"/>
      <c r="H108" s="468"/>
      <c r="I108" s="468"/>
      <c r="J108" s="468"/>
      <c r="K108" s="468"/>
    </row>
    <row r="109" spans="1:11" ht="13.1">
      <c r="A109" s="261"/>
      <c r="B109" s="261"/>
      <c r="C109" s="315"/>
      <c r="D109" s="1878"/>
      <c r="E109" s="1878"/>
      <c r="F109" s="1878"/>
      <c r="G109" s="470"/>
      <c r="H109" s="468"/>
      <c r="I109" s="468"/>
      <c r="J109" s="468"/>
      <c r="K109" s="468"/>
    </row>
    <row r="110" spans="1:11" ht="13.1">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ht="13.1">
      <c r="A114" s="261"/>
      <c r="B114" s="677" t="s">
        <v>316</v>
      </c>
      <c r="C114"/>
      <c r="D114" s="1879" t="s">
        <v>1259</v>
      </c>
      <c r="E114" s="1879"/>
      <c r="F114" s="1879"/>
      <c r="G114"/>
      <c r="H114"/>
      <c r="I114"/>
      <c r="J114"/>
      <c r="K114"/>
    </row>
    <row r="115" spans="1:11" ht="13.1">
      <c r="A115" s="261"/>
      <c r="B115" s="261"/>
      <c r="C115"/>
      <c r="D115" s="1879"/>
      <c r="E115" s="1879"/>
      <c r="F115" s="1879"/>
      <c r="G115"/>
      <c r="H115"/>
      <c r="I115"/>
      <c r="J115"/>
      <c r="K115"/>
    </row>
    <row r="116" spans="1:11"/>
    <row r="117" spans="1:11" ht="13.1">
      <c r="A117" s="261"/>
      <c r="B117" s="677" t="s">
        <v>316</v>
      </c>
      <c r="C117" s="10"/>
      <c r="D117" s="1821" t="s">
        <v>1260</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3.1">
      <c r="A123" s="261"/>
      <c r="B123" s="677" t="s">
        <v>316</v>
      </c>
      <c r="C123" s="10"/>
      <c r="D123" s="1822" t="s">
        <v>1261</v>
      </c>
      <c r="E123" s="1822"/>
      <c r="F123" s="1822"/>
      <c r="G123" s="149"/>
    </row>
    <row r="124" spans="1:11" s="296" customFormat="1" ht="13.75" customHeight="1">
      <c r="A124" s="293"/>
      <c r="B124" s="293"/>
      <c r="C124" s="294"/>
      <c r="D124" s="1822"/>
      <c r="E124" s="1822"/>
      <c r="F124" s="1822"/>
      <c r="G124" s="295"/>
    </row>
    <row r="125" spans="1:11" customFormat="1" ht="13.75" customHeight="1">
      <c r="A125" s="132"/>
      <c r="B125" s="674"/>
      <c r="C125" s="10"/>
      <c r="D125" s="1822"/>
      <c r="E125" s="1822"/>
      <c r="F125" s="1822"/>
      <c r="G125" s="149"/>
    </row>
    <row r="126" spans="1:11" customFormat="1" ht="13.75" customHeight="1">
      <c r="A126" s="132"/>
      <c r="B126" s="674"/>
      <c r="C126" s="10"/>
      <c r="D126" s="1822"/>
      <c r="E126" s="1822"/>
      <c r="F126" s="1822"/>
      <c r="G126" s="149"/>
    </row>
    <row r="127" spans="1:11" customFormat="1" ht="13.75" customHeight="1">
      <c r="A127" s="132"/>
      <c r="B127" s="674"/>
      <c r="C127" s="10"/>
      <c r="D127" s="1822"/>
      <c r="E127" s="1822"/>
      <c r="F127" s="1822"/>
      <c r="G127" s="149"/>
    </row>
    <row r="128" spans="1:11" customFormat="1" ht="13.75" customHeight="1">
      <c r="A128" s="378"/>
      <c r="B128" s="378"/>
      <c r="C128" s="10"/>
      <c r="D128" s="1822"/>
      <c r="E128" s="1822"/>
      <c r="F128" s="1822"/>
      <c r="G128" s="149"/>
    </row>
    <row r="129" spans="1:7" s="2" customFormat="1" ht="13.75" customHeight="1">
      <c r="A129" s="273"/>
      <c r="B129" s="273"/>
      <c r="C129" s="442"/>
      <c r="D129" s="1822"/>
      <c r="E129" s="1822"/>
      <c r="F129" s="1822"/>
      <c r="G129" s="182"/>
    </row>
    <row r="130" spans="1:7" s="2" customFormat="1" ht="13.75" customHeight="1">
      <c r="A130" s="273"/>
      <c r="B130" s="273"/>
      <c r="C130" s="442"/>
      <c r="D130" s="1822"/>
      <c r="E130" s="1822"/>
      <c r="F130" s="1822"/>
      <c r="G130" s="182"/>
    </row>
    <row r="131" spans="1:7" customFormat="1" ht="13.75" customHeight="1">
      <c r="A131" s="132"/>
      <c r="B131" s="674"/>
      <c r="C131" s="10"/>
      <c r="D131" s="1822"/>
      <c r="E131" s="1822"/>
      <c r="F131" s="1822"/>
      <c r="G131" s="149"/>
    </row>
    <row r="132" spans="1:7" customFormat="1" ht="13.75" customHeight="1">
      <c r="A132" s="132"/>
      <c r="B132" s="674"/>
      <c r="C132" s="10"/>
      <c r="D132" s="1822"/>
      <c r="E132" s="1822"/>
      <c r="F132" s="1822"/>
      <c r="G132" s="149"/>
    </row>
    <row r="133" spans="1:7" customFormat="1" ht="13.75" customHeight="1">
      <c r="A133" s="132"/>
      <c r="B133" s="674"/>
      <c r="C133" s="10"/>
      <c r="D133" s="1822"/>
      <c r="E133" s="1822"/>
      <c r="F133" s="1822"/>
      <c r="G133" s="149"/>
    </row>
    <row r="134" spans="1:7" customFormat="1" ht="13.75" customHeight="1">
      <c r="A134" s="132"/>
      <c r="B134" s="674"/>
      <c r="C134" s="10"/>
      <c r="D134" s="1822"/>
      <c r="E134" s="1822"/>
      <c r="F134" s="1822"/>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21" t="s">
        <v>1369</v>
      </c>
      <c r="E136" s="1821"/>
      <c r="F136" s="1821"/>
      <c r="G136" s="149"/>
    </row>
    <row r="137" spans="1:7" s="715" customFormat="1" ht="13.75" customHeight="1">
      <c r="A137" s="703"/>
      <c r="B137" s="703"/>
      <c r="C137" s="10"/>
      <c r="D137" s="1821"/>
      <c r="E137" s="1821"/>
      <c r="F137" s="1821"/>
      <c r="G137" s="149"/>
    </row>
    <row r="138" spans="1:7" s="715" customFormat="1" ht="13.75" customHeight="1">
      <c r="A138" s="703"/>
      <c r="B138" s="703"/>
      <c r="C138" s="10"/>
      <c r="D138" s="1821"/>
      <c r="E138" s="1821"/>
      <c r="F138" s="1821"/>
      <c r="G138" s="149"/>
    </row>
    <row r="139" spans="1:7" s="715" customFormat="1" ht="13.75" customHeight="1">
      <c r="A139" s="703"/>
      <c r="B139" s="703"/>
      <c r="C139" s="10"/>
      <c r="D139" s="1821"/>
      <c r="E139" s="1821"/>
      <c r="F139" s="1821"/>
      <c r="G139" s="149"/>
    </row>
    <row r="140" spans="1:7" s="715" customFormat="1" ht="13.75" customHeight="1">
      <c r="A140" s="703"/>
      <c r="B140" s="703"/>
      <c r="C140" s="10"/>
      <c r="D140" s="1821"/>
      <c r="E140" s="1821"/>
      <c r="F140" s="1821"/>
      <c r="G140" s="149"/>
    </row>
    <row r="141" spans="1:7" s="715" customFormat="1" ht="13.75" customHeight="1">
      <c r="A141" s="703"/>
      <c r="B141" s="703"/>
      <c r="C141" s="10"/>
      <c r="D141" s="1821"/>
      <c r="E141" s="1821"/>
      <c r="F141" s="1821"/>
      <c r="G141" s="149"/>
    </row>
    <row r="142" spans="1:7" s="715" customFormat="1" ht="13.75" customHeight="1">
      <c r="A142" s="703"/>
      <c r="B142" s="703"/>
      <c r="C142" s="10"/>
      <c r="D142" s="1821"/>
      <c r="E142" s="1821"/>
      <c r="F142" s="1821"/>
      <c r="G142" s="149"/>
    </row>
    <row r="143" spans="1:7" s="715" customFormat="1" ht="13.75" customHeight="1">
      <c r="A143" s="703"/>
      <c r="B143" s="703"/>
      <c r="C143" s="10"/>
      <c r="D143" s="1821"/>
      <c r="E143" s="1821"/>
      <c r="F143" s="1821"/>
      <c r="G143" s="149"/>
    </row>
    <row r="144" spans="1:7" s="715" customFormat="1" ht="13.75" customHeight="1">
      <c r="A144" s="703"/>
      <c r="B144" s="703"/>
      <c r="C144" s="10"/>
      <c r="D144" s="1821"/>
      <c r="E144" s="1821"/>
      <c r="F144" s="1821"/>
      <c r="G144" s="149"/>
    </row>
    <row r="145" spans="1:7" s="715" customFormat="1" ht="13.75" customHeight="1">
      <c r="A145" s="703"/>
      <c r="B145" s="703"/>
      <c r="C145" s="10"/>
      <c r="D145" s="1821"/>
      <c r="E145" s="1821"/>
      <c r="F145" s="1821"/>
      <c r="G145" s="149"/>
    </row>
    <row r="146" spans="1:7" s="715" customFormat="1" ht="13.75" customHeight="1">
      <c r="A146" s="745"/>
      <c r="B146" s="745"/>
      <c r="C146" s="10"/>
      <c r="D146" s="1821"/>
      <c r="E146" s="1821"/>
      <c r="F146" s="1821"/>
      <c r="G146" s="149"/>
    </row>
    <row r="147" spans="1:7" s="715" customFormat="1" ht="13.75" customHeight="1">
      <c r="A147" s="745"/>
      <c r="B147" s="745"/>
      <c r="C147" s="10"/>
      <c r="D147" s="1821"/>
      <c r="E147" s="1821"/>
      <c r="F147" s="1821"/>
      <c r="G147" s="149"/>
    </row>
    <row r="148" spans="1:7" s="715" customFormat="1" ht="13.75" customHeight="1">
      <c r="A148" s="703"/>
      <c r="B148" s="703"/>
      <c r="C148" s="10"/>
      <c r="D148" s="1821"/>
      <c r="E148" s="1821"/>
      <c r="F148" s="1821"/>
      <c r="G148" s="149"/>
    </row>
    <row r="149" spans="1:7" s="715" customFormat="1" ht="13.75" customHeight="1">
      <c r="A149" s="703"/>
      <c r="B149" s="703"/>
      <c r="C149" s="10"/>
      <c r="D149" s="1821"/>
      <c r="E149" s="1821"/>
      <c r="F149" s="1821"/>
      <c r="G149" s="149"/>
    </row>
    <row r="150" spans="1:7" s="715" customFormat="1" ht="13.75" customHeight="1">
      <c r="A150" s="703"/>
      <c r="B150" s="703"/>
      <c r="C150" s="10"/>
      <c r="D150" s="1821"/>
      <c r="E150" s="1821"/>
      <c r="F150" s="1821"/>
      <c r="G150" s="149"/>
    </row>
    <row r="151" spans="1:7" s="715" customFormat="1" ht="13.75" customHeight="1">
      <c r="A151" s="703"/>
      <c r="B151" s="703"/>
      <c r="C151" s="10"/>
      <c r="D151" s="1821"/>
      <c r="E151" s="1821"/>
      <c r="F151" s="1821"/>
      <c r="G151" s="149"/>
    </row>
    <row r="152" spans="1:7" s="715" customFormat="1" ht="13.75" customHeight="1">
      <c r="A152" s="703"/>
      <c r="B152" s="703"/>
      <c r="C152" s="10"/>
      <c r="D152" s="1821"/>
      <c r="E152" s="1821"/>
      <c r="F152" s="1821"/>
      <c r="G152" s="149"/>
    </row>
    <row r="153" spans="1:7" s="715" customFormat="1" ht="13.75" customHeight="1">
      <c r="A153" s="703"/>
      <c r="B153" s="703"/>
      <c r="C153" s="10"/>
      <c r="D153" s="1821"/>
      <c r="E153" s="1821"/>
      <c r="F153" s="1821"/>
      <c r="G153" s="149"/>
    </row>
    <row r="154" spans="1:7" s="715" customFormat="1" ht="13.75" customHeight="1">
      <c r="A154" s="703"/>
      <c r="B154" s="703"/>
      <c r="C154" s="10"/>
      <c r="D154" s="1821"/>
      <c r="E154" s="1821"/>
      <c r="F154" s="1821"/>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33" t="s">
        <v>1262</v>
      </c>
      <c r="E156" s="1833"/>
      <c r="F156" s="1833"/>
      <c r="G156" s="444"/>
    </row>
    <row r="157" spans="1:7" customFormat="1" ht="13.75" customHeight="1">
      <c r="A157" s="378"/>
      <c r="B157" s="378"/>
      <c r="C157" s="325"/>
      <c r="D157" s="1833"/>
      <c r="E157" s="1833"/>
      <c r="F157" s="1833"/>
      <c r="G157" s="444"/>
    </row>
    <row r="158" spans="1:7" customFormat="1" ht="13.75" customHeight="1">
      <c r="A158" s="378"/>
      <c r="B158" s="378"/>
      <c r="C158" s="325"/>
      <c r="D158" s="327"/>
      <c r="E158" s="325"/>
      <c r="F158" s="325"/>
      <c r="G158" s="444"/>
    </row>
    <row r="159" spans="1:7" customFormat="1" ht="13.75" customHeight="1">
      <c r="A159" s="378"/>
      <c r="B159" s="677" t="s">
        <v>316</v>
      </c>
      <c r="C159" s="325"/>
      <c r="D159" s="1829" t="s">
        <v>1263</v>
      </c>
      <c r="E159" s="1829"/>
      <c r="F159" s="1829"/>
      <c r="G159" s="444"/>
    </row>
    <row r="160" spans="1:7" customFormat="1" ht="13.75" customHeight="1">
      <c r="A160" s="378"/>
      <c r="B160" s="378"/>
      <c r="C160" s="325"/>
      <c r="D160" s="1829"/>
      <c r="E160" s="1829"/>
      <c r="F160" s="1829"/>
      <c r="G160" s="444"/>
    </row>
    <row r="161" spans="1:7" customFormat="1" ht="13.75" customHeight="1">
      <c r="A161" s="378"/>
      <c r="B161" s="378"/>
      <c r="C161" s="325"/>
      <c r="D161" s="1829"/>
      <c r="E161" s="1829"/>
      <c r="F161" s="1829"/>
      <c r="G161" s="444"/>
    </row>
    <row r="162" spans="1:7" customFormat="1" ht="13.75" customHeight="1">
      <c r="A162" s="378"/>
      <c r="B162" s="378"/>
      <c r="C162" s="325"/>
      <c r="D162" s="1829"/>
      <c r="E162" s="1829"/>
      <c r="F162" s="1829"/>
      <c r="G162" s="444"/>
    </row>
    <row r="163" spans="1:7" customFormat="1" ht="13.75" customHeight="1">
      <c r="A163" s="132"/>
      <c r="B163" s="674"/>
      <c r="C163" s="10"/>
      <c r="D163" s="151"/>
      <c r="E163" s="151"/>
      <c r="F163" s="151"/>
      <c r="G163" s="149"/>
    </row>
    <row r="164" spans="1:7" customFormat="1" ht="13.75" customHeight="1">
      <c r="A164" s="132"/>
      <c r="B164" s="677" t="s">
        <v>316</v>
      </c>
      <c r="C164" s="10"/>
      <c r="D164" s="1864" t="s">
        <v>1264</v>
      </c>
      <c r="E164" s="1864"/>
      <c r="F164" s="1864"/>
      <c r="G164" s="149"/>
    </row>
    <row r="165" spans="1:7" customFormat="1" ht="13.75" customHeight="1">
      <c r="A165" s="132"/>
      <c r="B165" s="674"/>
      <c r="C165" s="10"/>
      <c r="D165" s="1864"/>
      <c r="E165" s="1864"/>
      <c r="F165" s="1864"/>
      <c r="G165" s="149"/>
    </row>
    <row r="166" spans="1:7" customFormat="1" ht="13.75" customHeight="1">
      <c r="A166" s="132"/>
      <c r="B166" s="674"/>
      <c r="C166" s="10"/>
      <c r="D166" s="1864"/>
      <c r="E166" s="1864"/>
      <c r="F166" s="1864"/>
      <c r="G166" s="149"/>
    </row>
    <row r="167" spans="1:7" customFormat="1" ht="13.75" customHeight="1">
      <c r="A167" s="23"/>
      <c r="B167" s="673"/>
      <c r="C167" s="10"/>
      <c r="D167" s="7"/>
      <c r="E167" s="151"/>
      <c r="F167" s="151"/>
      <c r="G167" s="149"/>
    </row>
    <row r="168" spans="1:7" ht="13.1">
      <c r="A168" s="1841" t="s">
        <v>1158</v>
      </c>
      <c r="B168" s="1841"/>
      <c r="C168" s="1841"/>
      <c r="D168" s="1841"/>
      <c r="E168" s="1841"/>
      <c r="F168" s="1841"/>
      <c r="G168" s="1841"/>
    </row>
    <row r="169" spans="1:7" ht="12" customHeight="1">
      <c r="D169" s="135"/>
      <c r="E169" s="135"/>
      <c r="F169" s="135"/>
    </row>
    <row r="170" spans="1:7">
      <c r="B170" s="1869" t="s">
        <v>470</v>
      </c>
      <c r="C170" s="1869"/>
      <c r="D170" s="1869"/>
      <c r="E170" s="1869"/>
      <c r="F170" s="1869"/>
    </row>
    <row r="171" spans="1:7" ht="12" customHeight="1">
      <c r="A171" s="255"/>
      <c r="B171" s="671"/>
      <c r="C171" s="255"/>
    </row>
    <row r="172" spans="1:7" ht="13.1">
      <c r="A172" s="1841" t="s">
        <v>1159</v>
      </c>
      <c r="B172" s="1841"/>
      <c r="C172" s="1841"/>
      <c r="D172" s="1841"/>
      <c r="E172" s="1841"/>
      <c r="F172" s="1841"/>
      <c r="G172" s="1841"/>
    </row>
    <row r="173" spans="1:7" ht="12" customHeight="1">
      <c r="A173" s="264"/>
      <c r="B173" s="264"/>
      <c r="C173" s="265"/>
      <c r="D173" s="57"/>
      <c r="E173" s="49"/>
      <c r="F173" s="57"/>
      <c r="G173" s="57"/>
    </row>
    <row r="174" spans="1:7" ht="13.1" customHeight="1">
      <c r="A174" s="264"/>
      <c r="B174" s="264"/>
      <c r="C174" s="265"/>
      <c r="D174" s="1865" t="s">
        <v>1267</v>
      </c>
      <c r="E174" s="1865"/>
      <c r="F174" s="1865"/>
      <c r="G174" s="57"/>
    </row>
    <row r="175" spans="1:7" ht="13.1">
      <c r="A175" s="264"/>
      <c r="B175" s="264"/>
      <c r="C175" s="265"/>
      <c r="D175" s="1865"/>
      <c r="E175" s="1865"/>
      <c r="F175" s="1865"/>
      <c r="G175" s="57"/>
    </row>
    <row r="176" spans="1:7" s="717" customFormat="1" ht="13.1">
      <c r="A176" s="719"/>
      <c r="B176" s="719"/>
      <c r="C176" s="265"/>
      <c r="D176" s="1866" t="s">
        <v>1268</v>
      </c>
      <c r="E176" s="1866"/>
      <c r="F176" s="1866"/>
      <c r="G176" s="57"/>
    </row>
    <row r="177" spans="1:7" ht="12" customHeight="1">
      <c r="A177" s="264"/>
      <c r="B177" s="264"/>
      <c r="C177" s="265"/>
      <c r="D177" s="57"/>
      <c r="E177" s="49"/>
      <c r="F177" s="57"/>
      <c r="G177" s="57"/>
    </row>
    <row r="178" spans="1:7" ht="13.1">
      <c r="A178" s="261"/>
      <c r="B178" s="677" t="s">
        <v>316</v>
      </c>
      <c r="C178" s="265"/>
      <c r="D178" s="1859" t="s">
        <v>1266</v>
      </c>
      <c r="E178" s="1859"/>
      <c r="F178" s="1859"/>
      <c r="G178" s="57"/>
    </row>
    <row r="179" spans="1:7" ht="13.1">
      <c r="A179" s="261"/>
      <c r="B179" s="261"/>
      <c r="C179" s="265"/>
      <c r="D179" s="1859"/>
      <c r="E179" s="1859"/>
      <c r="F179" s="1859"/>
      <c r="G179" s="57"/>
    </row>
    <row r="180" spans="1:7" ht="13.1">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1175</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ht="13.1">
      <c r="A186" s="261"/>
      <c r="B186" s="677" t="s">
        <v>316</v>
      </c>
      <c r="C186" s="555"/>
      <c r="D186" s="1821" t="s">
        <v>1265</v>
      </c>
      <c r="E186" s="1821"/>
      <c r="F186" s="1821"/>
      <c r="G186" s="676"/>
    </row>
    <row r="187" spans="1:7" s="675" customFormat="1" ht="14.5" customHeight="1">
      <c r="A187" s="261"/>
      <c r="C187" s="555"/>
      <c r="D187" s="1821"/>
      <c r="E187" s="1821"/>
      <c r="F187" s="1821"/>
      <c r="G187" s="676"/>
    </row>
    <row r="188" spans="1:7" s="675" customFormat="1" ht="13.1">
      <c r="A188" s="261"/>
      <c r="B188" s="695"/>
      <c r="C188" s="555"/>
      <c r="D188" s="1821"/>
      <c r="E188" s="1821"/>
      <c r="F188" s="1821"/>
      <c r="G188" s="676"/>
    </row>
    <row r="189" spans="1:7" s="675" customFormat="1" ht="13.1">
      <c r="A189" s="261"/>
      <c r="B189" s="695"/>
      <c r="C189" s="555"/>
      <c r="D189" s="1821"/>
      <c r="E189" s="1821"/>
      <c r="F189" s="1821"/>
      <c r="G189" s="676"/>
    </row>
    <row r="190" spans="1:7" s="680" customFormat="1">
      <c r="A190" s="265"/>
      <c r="B190" s="265"/>
      <c r="C190" s="265"/>
      <c r="D190" s="694"/>
      <c r="E190" s="694"/>
      <c r="F190" s="694"/>
      <c r="G190" s="7"/>
    </row>
    <row r="191" spans="1:7" ht="13.1">
      <c r="A191" s="1841" t="s">
        <v>1160</v>
      </c>
      <c r="B191" s="1841"/>
      <c r="C191" s="1841"/>
      <c r="D191" s="1841"/>
      <c r="E191" s="1841"/>
      <c r="F191" s="1841"/>
      <c r="G191" s="1841"/>
    </row>
    <row r="192" spans="1:7" ht="12" customHeight="1">
      <c r="D192" s="135"/>
      <c r="E192" s="135"/>
      <c r="F192" s="135"/>
    </row>
    <row r="193" spans="1:6" ht="13.1">
      <c r="C193" s="262"/>
      <c r="D193" s="1867" t="s">
        <v>214</v>
      </c>
      <c r="E193" s="1867"/>
      <c r="F193" s="1867"/>
    </row>
    <row r="194" spans="1:6" ht="13.1">
      <c r="A194" s="255"/>
      <c r="B194" s="671"/>
      <c r="C194" s="255"/>
      <c r="D194" s="1836" t="s">
        <v>1289</v>
      </c>
      <c r="E194" s="1846"/>
      <c r="F194" s="1846"/>
    </row>
    <row r="195" spans="1:6" ht="12" customHeight="1">
      <c r="A195" s="23"/>
      <c r="B195" s="673"/>
      <c r="C195" s="23"/>
    </row>
    <row r="196" spans="1:6" ht="13.1" customHeight="1">
      <c r="A196" s="23"/>
      <c r="C196" s="23"/>
      <c r="D196" s="1844" t="s">
        <v>579</v>
      </c>
      <c r="E196" s="1844"/>
      <c r="F196" s="1844"/>
    </row>
    <row r="197" spans="1:6" ht="13.1">
      <c r="A197" s="261"/>
      <c r="B197" s="677" t="s">
        <v>316</v>
      </c>
      <c r="D197" s="1821" t="s">
        <v>1283</v>
      </c>
      <c r="E197" s="1821"/>
      <c r="F197" s="1821"/>
    </row>
    <row r="198" spans="1:6" ht="13.1">
      <c r="A198" s="261"/>
      <c r="B198" s="261"/>
      <c r="D198" s="1821"/>
      <c r="E198" s="1821"/>
      <c r="F198" s="1821"/>
    </row>
    <row r="199" spans="1:6"/>
    <row r="200" spans="1:6" ht="13.1">
      <c r="A200" s="261"/>
      <c r="B200" s="677" t="s">
        <v>316</v>
      </c>
      <c r="D200" s="1821" t="s">
        <v>1284</v>
      </c>
      <c r="E200" s="1821"/>
      <c r="F200" s="1821"/>
    </row>
    <row r="201" spans="1:6" ht="13.1">
      <c r="A201" s="261"/>
      <c r="B201" s="261"/>
      <c r="D201" s="1821"/>
      <c r="E201" s="1821"/>
      <c r="F201" s="1821"/>
    </row>
    <row r="202" spans="1:6" ht="13.1">
      <c r="A202" s="261"/>
      <c r="B202" s="261"/>
      <c r="D202" s="1821"/>
      <c r="E202" s="1821"/>
      <c r="F202" s="1821"/>
    </row>
    <row r="203" spans="1:6" ht="5.2" customHeight="1">
      <c r="A203" s="261"/>
      <c r="B203" s="261"/>
      <c r="D203" s="151"/>
      <c r="E203" s="135"/>
      <c r="F203" s="135"/>
    </row>
    <row r="204" spans="1:6" ht="13.1">
      <c r="A204" s="261"/>
      <c r="B204" s="261"/>
      <c r="D204" s="1821" t="s">
        <v>1285</v>
      </c>
      <c r="E204" s="1821"/>
      <c r="F204" s="1821"/>
    </row>
    <row r="205" spans="1:6" ht="13.1">
      <c r="A205" s="261"/>
      <c r="B205" s="261"/>
      <c r="D205" s="1821"/>
      <c r="E205" s="1821"/>
      <c r="F205" s="1821"/>
    </row>
    <row r="206" spans="1:6" ht="13.1">
      <c r="A206" s="261"/>
      <c r="B206" s="261"/>
      <c r="D206" s="1821"/>
      <c r="E206" s="1821"/>
      <c r="F206" s="1821"/>
    </row>
    <row r="207" spans="1:6" ht="13.1">
      <c r="A207" s="261"/>
      <c r="B207" s="261"/>
      <c r="D207" s="1821"/>
      <c r="E207" s="1821"/>
      <c r="F207" s="1821"/>
    </row>
    <row r="208" spans="1:6" ht="13.1">
      <c r="A208" s="261"/>
      <c r="B208" s="261"/>
      <c r="D208" s="1821"/>
      <c r="E208" s="1821"/>
      <c r="F208" s="1821"/>
    </row>
    <row r="209" spans="1:7" ht="13.1">
      <c r="A209" s="261"/>
      <c r="B209" s="261"/>
      <c r="D209" s="135"/>
      <c r="E209" s="135"/>
      <c r="F209" s="135"/>
    </row>
    <row r="210" spans="1:7" ht="13.1">
      <c r="A210" s="261"/>
      <c r="B210" s="677" t="s">
        <v>316</v>
      </c>
      <c r="D210" s="1835" t="s">
        <v>1286</v>
      </c>
      <c r="E210" s="1835"/>
      <c r="F210" s="1835"/>
    </row>
    <row r="211" spans="1:7" ht="13.1">
      <c r="A211" s="261"/>
      <c r="B211" s="261"/>
      <c r="D211" s="1835"/>
      <c r="E211" s="1835"/>
      <c r="F211" s="1835"/>
    </row>
    <row r="212" spans="1:7" ht="13.1">
      <c r="A212" s="261"/>
      <c r="B212" s="261"/>
      <c r="D212" s="1869" t="s">
        <v>963</v>
      </c>
      <c r="E212" s="1869"/>
      <c r="F212" s="1869"/>
    </row>
    <row r="213" spans="1:7" ht="13.1">
      <c r="A213" s="261"/>
      <c r="B213" s="261"/>
      <c r="D213" s="135"/>
      <c r="E213" s="135"/>
      <c r="F213" s="135"/>
    </row>
    <row r="214" spans="1:7" ht="14.5" customHeight="1">
      <c r="A214" s="261"/>
      <c r="B214" s="677" t="s">
        <v>316</v>
      </c>
      <c r="D214" s="1835" t="s">
        <v>1288</v>
      </c>
      <c r="E214" s="1835"/>
      <c r="F214" s="1835"/>
    </row>
    <row r="215" spans="1:7" ht="13.1">
      <c r="A215" s="261"/>
      <c r="B215" s="261"/>
      <c r="D215" s="1835"/>
      <c r="E215" s="1835"/>
      <c r="F215" s="1835"/>
    </row>
    <row r="216" spans="1:7" ht="13.1">
      <c r="A216" s="261"/>
      <c r="B216" s="261"/>
      <c r="D216" s="1835"/>
      <c r="E216" s="1835"/>
      <c r="F216" s="1835"/>
    </row>
    <row r="217" spans="1:7" ht="13.1">
      <c r="A217" s="261"/>
      <c r="B217" s="261"/>
      <c r="D217" s="1835"/>
      <c r="E217" s="1835"/>
      <c r="F217" s="1835"/>
    </row>
    <row r="218" spans="1:7" ht="13.1">
      <c r="A218" s="261"/>
      <c r="B218" s="261"/>
      <c r="D218" s="1835"/>
      <c r="E218" s="1835"/>
      <c r="F218" s="1835"/>
    </row>
    <row r="219" spans="1:7">
      <c r="D219" s="135"/>
      <c r="E219" s="135"/>
      <c r="F219" s="135"/>
    </row>
    <row r="220" spans="1:7" ht="13.1">
      <c r="A220" s="261"/>
      <c r="B220" s="677" t="s">
        <v>316</v>
      </c>
      <c r="D220" s="1821" t="s">
        <v>1287</v>
      </c>
      <c r="E220" s="1821"/>
      <c r="F220" s="1821"/>
    </row>
    <row r="221" spans="1:7" ht="13.1">
      <c r="A221" s="261"/>
      <c r="B221" s="261"/>
      <c r="D221" s="1821"/>
      <c r="E221" s="1821"/>
      <c r="F221" s="1821"/>
    </row>
    <row r="222" spans="1:7">
      <c r="D222" s="29"/>
    </row>
    <row r="223" spans="1:7" ht="13.1">
      <c r="A223" s="1841" t="s">
        <v>1161</v>
      </c>
      <c r="B223" s="1841"/>
      <c r="C223" s="1841"/>
      <c r="D223" s="1841"/>
      <c r="E223" s="1841"/>
      <c r="F223" s="1841"/>
      <c r="G223" s="1841"/>
    </row>
    <row r="224" spans="1:7">
      <c r="D224" s="29"/>
    </row>
    <row r="225" spans="1:6" ht="13.1">
      <c r="C225" s="262"/>
      <c r="D225" s="1844" t="s">
        <v>1290</v>
      </c>
      <c r="E225" s="1844"/>
      <c r="F225" s="1844"/>
    </row>
    <row r="226" spans="1:6" ht="13.1">
      <c r="A226" s="255"/>
      <c r="B226" s="671"/>
      <c r="C226" s="255"/>
      <c r="D226" s="135"/>
      <c r="E226" s="135"/>
      <c r="F226" s="135"/>
    </row>
    <row r="227" spans="1:6" ht="13.1">
      <c r="A227" s="260"/>
      <c r="B227" s="260"/>
      <c r="C227" s="260"/>
      <c r="D227" s="1844" t="s">
        <v>275</v>
      </c>
      <c r="E227" s="1844"/>
      <c r="F227" s="1844"/>
    </row>
    <row r="228" spans="1:6" ht="13.1">
      <c r="A228" s="261"/>
      <c r="B228" s="677" t="s">
        <v>316</v>
      </c>
      <c r="D228" s="1845" t="s">
        <v>1291</v>
      </c>
      <c r="E228" s="1845"/>
      <c r="F228" s="1845"/>
    </row>
    <row r="229" spans="1:6" ht="13.1">
      <c r="A229" s="261"/>
      <c r="B229" s="261"/>
      <c r="D229" s="1845"/>
      <c r="E229" s="1845"/>
      <c r="F229" s="1845"/>
    </row>
    <row r="230" spans="1:6">
      <c r="D230" s="135"/>
      <c r="E230" s="135"/>
      <c r="F230" s="135"/>
    </row>
    <row r="231" spans="1:6" ht="14.5" customHeight="1">
      <c r="A231" s="261"/>
      <c r="B231" s="677" t="s">
        <v>316</v>
      </c>
      <c r="D231" s="1835" t="s">
        <v>1292</v>
      </c>
      <c r="E231" s="1835"/>
      <c r="F231" s="1835"/>
    </row>
    <row r="232" spans="1:6">
      <c r="D232" s="1835"/>
      <c r="E232" s="1835"/>
      <c r="F232" s="1835"/>
    </row>
    <row r="233" spans="1:6" ht="13.1">
      <c r="D233" s="1846" t="s">
        <v>954</v>
      </c>
      <c r="E233" s="1846"/>
      <c r="F233" s="1846"/>
    </row>
    <row r="234" spans="1:6">
      <c r="D234" s="135"/>
      <c r="E234" s="135"/>
      <c r="F234" s="135"/>
    </row>
    <row r="235" spans="1:6" ht="14.5" customHeight="1">
      <c r="A235" s="261"/>
      <c r="B235" s="677" t="s">
        <v>316</v>
      </c>
      <c r="D235" s="1835" t="s">
        <v>1294</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3.1">
      <c r="A241" s="261"/>
      <c r="B241" s="677" t="s">
        <v>316</v>
      </c>
      <c r="D241" s="1821" t="s">
        <v>1293</v>
      </c>
      <c r="E241" s="1821"/>
      <c r="F241" s="1821"/>
    </row>
    <row r="242" spans="1:7">
      <c r="D242" s="1821"/>
      <c r="E242" s="1821"/>
      <c r="F242" s="1821"/>
    </row>
    <row r="243" spans="1:7">
      <c r="D243" s="1821"/>
      <c r="E243" s="1821"/>
      <c r="F243" s="1821"/>
    </row>
    <row r="244" spans="1:7">
      <c r="D244" s="263"/>
      <c r="E244" s="135"/>
      <c r="F244" s="135"/>
    </row>
    <row r="245" spans="1:7" ht="13.1">
      <c r="A245" s="1841" t="s">
        <v>1162</v>
      </c>
      <c r="B245" s="1841"/>
      <c r="C245" s="1841"/>
      <c r="D245" s="1841"/>
      <c r="E245" s="1841"/>
      <c r="F245" s="1841"/>
      <c r="G245" s="1841"/>
    </row>
    <row r="246" spans="1:7">
      <c r="D246" s="263"/>
      <c r="E246" s="135"/>
      <c r="F246" s="135"/>
    </row>
    <row r="247" spans="1:7" ht="13.1">
      <c r="C247" s="255"/>
      <c r="D247" s="1870" t="s">
        <v>1295</v>
      </c>
      <c r="E247" s="1870"/>
      <c r="F247" s="1870"/>
    </row>
    <row r="248" spans="1:7" ht="13.1">
      <c r="C248" s="255"/>
      <c r="D248" s="1870"/>
      <c r="E248" s="1870"/>
      <c r="F248" s="1870"/>
    </row>
    <row r="249" spans="1:7" ht="13.1">
      <c r="A249" s="260"/>
      <c r="B249" s="260"/>
      <c r="C249" s="260"/>
      <c r="D249" s="5"/>
      <c r="E249" s="6"/>
      <c r="F249" s="6"/>
    </row>
    <row r="250" spans="1:7" ht="13.1">
      <c r="C250" s="260"/>
      <c r="D250" s="1844" t="s">
        <v>215</v>
      </c>
      <c r="E250" s="1844"/>
      <c r="F250" s="1844"/>
    </row>
    <row r="251" spans="1:7" ht="15.75" customHeight="1">
      <c r="A251" s="261"/>
      <c r="B251" s="261"/>
      <c r="D251" s="1852" t="s">
        <v>1296</v>
      </c>
      <c r="E251" s="1852"/>
      <c r="F251" s="1852"/>
    </row>
    <row r="252" spans="1:7">
      <c r="E252" s="135"/>
      <c r="F252" s="135"/>
    </row>
    <row r="253" spans="1:7" ht="13.1">
      <c r="A253" s="261"/>
      <c r="B253" s="677" t="s">
        <v>316</v>
      </c>
      <c r="D253" s="1821" t="s">
        <v>1297</v>
      </c>
      <c r="E253" s="1821"/>
      <c r="F253" s="1821"/>
    </row>
    <row r="254" spans="1:7" ht="13.1">
      <c r="A254" s="261"/>
      <c r="B254" s="261"/>
      <c r="D254" s="1821"/>
      <c r="E254" s="1821"/>
      <c r="F254" s="1821"/>
    </row>
    <row r="255" spans="1:7">
      <c r="D255" s="135"/>
      <c r="E255" s="135"/>
      <c r="F255" s="135"/>
    </row>
    <row r="256" spans="1:7" ht="13.1">
      <c r="A256" s="261"/>
      <c r="B256" s="677" t="s">
        <v>316</v>
      </c>
      <c r="D256" s="1835" t="s">
        <v>1298</v>
      </c>
      <c r="E256" s="1835"/>
      <c r="F256" s="1835"/>
    </row>
    <row r="257" spans="1:7" ht="13.1">
      <c r="A257" s="261"/>
      <c r="B257" s="261"/>
      <c r="D257" s="1835"/>
      <c r="E257" s="1835"/>
      <c r="F257" s="1835"/>
    </row>
    <row r="258" spans="1:7" ht="13.1">
      <c r="A258" s="261"/>
      <c r="B258" s="261"/>
      <c r="D258" s="1835"/>
      <c r="E258" s="1835"/>
      <c r="F258" s="1835"/>
    </row>
    <row r="259" spans="1:7">
      <c r="D259" s="135"/>
      <c r="E259" s="135"/>
      <c r="F259" s="135"/>
    </row>
    <row r="260" spans="1:7" ht="13.1">
      <c r="A260" s="261"/>
      <c r="B260" s="677" t="s">
        <v>316</v>
      </c>
      <c r="D260" s="1821" t="s">
        <v>1299</v>
      </c>
      <c r="E260" s="1821"/>
      <c r="F260" s="1821"/>
    </row>
    <row r="261" spans="1:7" ht="13.1">
      <c r="A261" s="261"/>
      <c r="B261" s="261"/>
      <c r="D261" s="1821"/>
      <c r="E261" s="1821"/>
      <c r="F261" s="1821"/>
    </row>
    <row r="262" spans="1:7" ht="13.1">
      <c r="A262" s="23"/>
      <c r="B262" s="673"/>
      <c r="E262" s="135"/>
      <c r="F262" s="135"/>
    </row>
    <row r="263" spans="1:7" ht="13.1">
      <c r="A263" s="1841" t="s">
        <v>1163</v>
      </c>
      <c r="B263" s="1841"/>
      <c r="C263" s="1841"/>
      <c r="D263" s="1841"/>
      <c r="E263" s="1841"/>
      <c r="F263" s="1841"/>
      <c r="G263" s="1841"/>
    </row>
    <row r="264" spans="1:7" ht="13.1">
      <c r="A264" s="23"/>
      <c r="B264" s="673"/>
      <c r="D264" s="135"/>
      <c r="E264" s="135"/>
      <c r="F264" s="135"/>
    </row>
    <row r="265" spans="1:7" ht="13.1">
      <c r="C265" s="23"/>
      <c r="D265" s="1844" t="s">
        <v>719</v>
      </c>
      <c r="E265" s="1844"/>
      <c r="F265" s="1844"/>
    </row>
    <row r="266" spans="1:7" ht="13.1">
      <c r="C266" s="23"/>
      <c r="D266" s="1834" t="s">
        <v>1300</v>
      </c>
      <c r="E266" s="1834"/>
      <c r="F266" s="1834"/>
    </row>
    <row r="267" spans="1:7" ht="13.1">
      <c r="C267" s="23"/>
      <c r="D267" s="259"/>
    </row>
    <row r="268" spans="1:7">
      <c r="A268" s="273"/>
      <c r="B268" s="677" t="s">
        <v>316</v>
      </c>
      <c r="D268" s="1834" t="s">
        <v>1301</v>
      </c>
      <c r="E268" s="1834"/>
      <c r="F268" s="1834"/>
    </row>
    <row r="269" spans="1:7" s="39" customFormat="1" ht="13.1">
      <c r="A269" s="403"/>
      <c r="B269" s="403"/>
      <c r="C269" s="273"/>
      <c r="D269" s="495"/>
      <c r="E269" s="496"/>
      <c r="F269" s="496"/>
      <c r="G269" s="130"/>
    </row>
    <row r="270" spans="1:7" s="39" customFormat="1" ht="13.1" customHeight="1">
      <c r="A270" s="273"/>
      <c r="B270" s="677" t="s">
        <v>316</v>
      </c>
      <c r="C270" s="273"/>
      <c r="D270" s="1847" t="s">
        <v>1302</v>
      </c>
      <c r="E270" s="1847"/>
      <c r="F270" s="1847"/>
      <c r="G270" s="130"/>
    </row>
    <row r="271" spans="1:7" s="39" customFormat="1" ht="13.1">
      <c r="A271" s="403"/>
      <c r="B271" s="403"/>
      <c r="C271" s="273"/>
      <c r="D271" s="1847"/>
      <c r="E271" s="1847"/>
      <c r="F271" s="1847"/>
      <c r="G271" s="130"/>
    </row>
    <row r="272" spans="1:7" s="39" customFormat="1" ht="13.1">
      <c r="A272" s="403"/>
      <c r="B272" s="403"/>
      <c r="C272" s="273"/>
      <c r="D272" s="1847"/>
      <c r="E272" s="1847"/>
      <c r="F272" s="1847"/>
      <c r="G272" s="130"/>
    </row>
    <row r="273" spans="1:7" s="39" customFormat="1" ht="13.1">
      <c r="A273" s="403"/>
      <c r="B273" s="403"/>
      <c r="C273" s="273"/>
      <c r="D273" s="1847"/>
      <c r="E273" s="1847"/>
      <c r="F273" s="1847"/>
      <c r="G273" s="130"/>
    </row>
    <row r="274" spans="1:7" s="39" customFormat="1" ht="13.1">
      <c r="A274" s="403"/>
      <c r="B274" s="403"/>
      <c r="C274" s="273"/>
      <c r="D274" s="1847"/>
      <c r="E274" s="1847"/>
      <c r="F274" s="1847"/>
      <c r="G274" s="130"/>
    </row>
    <row r="275" spans="1:7" s="39" customFormat="1" ht="13.1">
      <c r="A275" s="403"/>
      <c r="B275" s="403"/>
      <c r="C275" s="273"/>
      <c r="D275" s="495"/>
      <c r="E275" s="496"/>
      <c r="F275" s="496"/>
      <c r="G275" s="130"/>
    </row>
    <row r="276" spans="1:7" s="39" customFormat="1" ht="13.1" customHeight="1">
      <c r="A276" s="273"/>
      <c r="B276" s="677" t="s">
        <v>316</v>
      </c>
      <c r="C276" s="273"/>
      <c r="D276" s="1847" t="s">
        <v>1303</v>
      </c>
      <c r="E276" s="1847"/>
      <c r="F276" s="1847"/>
      <c r="G276" s="130"/>
    </row>
    <row r="277" spans="1:7" s="39" customFormat="1">
      <c r="A277" s="273"/>
      <c r="B277" s="273"/>
      <c r="C277" s="273"/>
      <c r="D277" s="1847"/>
      <c r="E277" s="1847"/>
      <c r="F277" s="1847"/>
      <c r="G277" s="130"/>
    </row>
    <row r="278" spans="1:7" s="39" customFormat="1" ht="13.1">
      <c r="A278" s="403"/>
      <c r="B278" s="403"/>
      <c r="C278" s="273"/>
      <c r="D278" s="495"/>
      <c r="E278" s="496"/>
      <c r="F278" s="496"/>
      <c r="G278" s="130"/>
    </row>
    <row r="279" spans="1:7">
      <c r="A279" s="273"/>
      <c r="B279" s="677" t="s">
        <v>316</v>
      </c>
      <c r="D279" s="1834" t="s">
        <v>1304</v>
      </c>
      <c r="E279" s="1834"/>
      <c r="F279" s="1834"/>
    </row>
    <row r="280" spans="1:7">
      <c r="E280" s="135"/>
      <c r="F280" s="135"/>
    </row>
    <row r="281" spans="1:7" ht="13.1">
      <c r="A281" s="261"/>
      <c r="B281" s="677" t="s">
        <v>316</v>
      </c>
      <c r="D281" s="1835" t="s">
        <v>1305</v>
      </c>
      <c r="E281" s="1835"/>
      <c r="F281" s="1835"/>
    </row>
    <row r="282" spans="1:7" ht="13.1">
      <c r="A282" s="261"/>
      <c r="B282" s="261"/>
      <c r="D282" s="1835"/>
      <c r="E282" s="1835"/>
      <c r="F282" s="1835"/>
    </row>
    <row r="283" spans="1:7" s="717" customFormat="1" ht="13.1">
      <c r="A283" s="712"/>
      <c r="B283" s="712"/>
      <c r="C283" s="729"/>
      <c r="D283" s="1835"/>
      <c r="E283" s="1835"/>
      <c r="F283" s="1835"/>
      <c r="G283" s="7"/>
    </row>
    <row r="284" spans="1:7" s="717" customFormat="1" ht="13.1">
      <c r="A284" s="712"/>
      <c r="B284" s="712"/>
      <c r="C284" s="729"/>
      <c r="D284" s="1835"/>
      <c r="E284" s="1835"/>
      <c r="F284" s="1835"/>
      <c r="G284" s="7"/>
    </row>
    <row r="285" spans="1:7" s="717" customFormat="1" ht="13.1">
      <c r="A285" s="712"/>
      <c r="B285" s="712"/>
      <c r="C285" s="729"/>
      <c r="D285" s="1835"/>
      <c r="E285" s="1835"/>
      <c r="F285" s="1835"/>
      <c r="G285" s="7"/>
    </row>
    <row r="286" spans="1:7" s="717" customFormat="1" ht="13.1">
      <c r="A286" s="712"/>
      <c r="B286" s="712"/>
      <c r="C286" s="729"/>
      <c r="D286" s="1835"/>
      <c r="E286" s="1835"/>
      <c r="F286" s="1835"/>
      <c r="G286" s="7"/>
    </row>
    <row r="287" spans="1:7" s="717" customFormat="1" ht="13.1">
      <c r="A287" s="712"/>
      <c r="B287" s="712"/>
      <c r="C287" s="729"/>
      <c r="D287" s="1835"/>
      <c r="E287" s="1835"/>
      <c r="F287" s="1835"/>
      <c r="G287" s="7"/>
    </row>
    <row r="288" spans="1:7" s="717" customFormat="1" ht="13.1">
      <c r="A288" s="712"/>
      <c r="B288" s="712"/>
      <c r="C288" s="729"/>
      <c r="D288" s="1835"/>
      <c r="E288" s="1835"/>
      <c r="F288" s="1835"/>
      <c r="G288" s="7"/>
    </row>
    <row r="289" spans="1:7" s="717" customFormat="1" ht="13.1">
      <c r="A289" s="712"/>
      <c r="B289" s="712"/>
      <c r="C289" s="729"/>
      <c r="D289" s="1835"/>
      <c r="E289" s="1835"/>
      <c r="F289" s="1835"/>
      <c r="G289" s="7"/>
    </row>
    <row r="290" spans="1:7" s="717" customFormat="1" ht="13.1">
      <c r="A290" s="712"/>
      <c r="B290" s="712"/>
      <c r="C290" s="729"/>
      <c r="D290" s="1835"/>
      <c r="E290" s="1835"/>
      <c r="F290" s="1835"/>
      <c r="G290" s="7"/>
    </row>
    <row r="291" spans="1:7" s="717" customFormat="1" ht="13.1">
      <c r="A291" s="712"/>
      <c r="B291" s="712"/>
      <c r="C291" s="729"/>
      <c r="D291" s="1835"/>
      <c r="E291" s="1835"/>
      <c r="F291" s="1835"/>
      <c r="G291" s="7"/>
    </row>
    <row r="292" spans="1:7" s="717" customFormat="1" ht="13.1">
      <c r="A292" s="712"/>
      <c r="B292" s="712"/>
      <c r="C292" s="729"/>
      <c r="D292" s="1835"/>
      <c r="E292" s="1835"/>
      <c r="F292" s="1835"/>
      <c r="G292" s="7"/>
    </row>
    <row r="293" spans="1:7" ht="13.1">
      <c r="A293" s="261"/>
      <c r="B293" s="261"/>
      <c r="D293" s="1835"/>
      <c r="E293" s="1835"/>
      <c r="F293" s="1835"/>
    </row>
    <row r="294" spans="1:7" ht="13.1">
      <c r="A294" s="261"/>
      <c r="B294" s="261"/>
      <c r="D294" s="1835"/>
      <c r="E294" s="1835"/>
      <c r="F294" s="1835"/>
    </row>
    <row r="295" spans="1:7" ht="13.1">
      <c r="A295" s="261"/>
      <c r="B295" s="261"/>
      <c r="D295" s="1835"/>
      <c r="E295" s="1835"/>
      <c r="F295" s="1835"/>
    </row>
    <row r="296" spans="1:7">
      <c r="D296" s="135"/>
      <c r="E296" s="135"/>
      <c r="F296" s="135"/>
    </row>
    <row r="297" spans="1:7" ht="13.1">
      <c r="A297" s="261"/>
      <c r="B297" s="677" t="s">
        <v>316</v>
      </c>
      <c r="D297" s="1835" t="s">
        <v>1306</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3.1">
      <c r="A307" s="261"/>
      <c r="B307" s="677" t="s">
        <v>316</v>
      </c>
      <c r="D307" s="1821" t="s">
        <v>1307</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6" thickBot="1">
      <c r="D314" s="1853" t="s">
        <v>1059</v>
      </c>
      <c r="E314" s="1853"/>
      <c r="F314" s="1853"/>
      <c r="G314" s="12"/>
    </row>
    <row r="315" spans="1:7" s="717" customFormat="1" ht="13.1" thickTop="1">
      <c r="A315" s="729"/>
      <c r="B315" s="729"/>
      <c r="C315" s="729"/>
      <c r="D315" s="1854" t="s">
        <v>1308</v>
      </c>
      <c r="E315" s="1854"/>
      <c r="F315" s="1854"/>
    </row>
    <row r="316" spans="1:7">
      <c r="A316" s="325"/>
      <c r="B316" s="325"/>
      <c r="C316" s="325"/>
      <c r="D316" s="467"/>
      <c r="E316" s="467"/>
      <c r="F316" s="135"/>
      <c r="G316" s="12"/>
    </row>
    <row r="317" spans="1:7" ht="13.1">
      <c r="A317" s="261"/>
      <c r="B317" s="677" t="s">
        <v>316</v>
      </c>
      <c r="C317" s="325"/>
      <c r="D317" s="1855" t="s">
        <v>1309</v>
      </c>
      <c r="E317" s="1855"/>
      <c r="F317" s="1855"/>
      <c r="G317" s="12"/>
    </row>
    <row r="318" spans="1:7">
      <c r="A318" s="325"/>
      <c r="B318" s="325"/>
      <c r="C318" s="325"/>
      <c r="D318" s="467"/>
      <c r="E318" s="467"/>
      <c r="F318" s="135"/>
      <c r="G318" s="12"/>
    </row>
    <row r="319" spans="1:7">
      <c r="A319" s="325"/>
      <c r="B319" s="677" t="s">
        <v>316</v>
      </c>
      <c r="C319" s="325"/>
      <c r="D319" s="1850" t="s">
        <v>1310</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ht="13.1">
      <c r="A331" s="261"/>
      <c r="B331" s="677" t="s">
        <v>316</v>
      </c>
      <c r="C331" s="325"/>
      <c r="D331" s="1848" t="s">
        <v>1311</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1312</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35" customHeight="1">
      <c r="A344" s="325"/>
      <c r="B344" s="325"/>
      <c r="C344" s="325"/>
      <c r="D344" s="1848"/>
      <c r="E344" s="1848"/>
      <c r="F344" s="1848"/>
      <c r="G344" s="12"/>
    </row>
    <row r="345" spans="1:7" ht="13.1" customHeight="1">
      <c r="A345" s="325"/>
      <c r="B345" s="325"/>
      <c r="C345" s="325"/>
      <c r="D345" s="1849" t="s">
        <v>1313</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316</v>
      </c>
      <c r="C364" s="325"/>
      <c r="D364" s="1849" t="s">
        <v>1314</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ht="13.1">
      <c r="A367" s="261"/>
      <c r="B367" s="677" t="s">
        <v>316</v>
      </c>
      <c r="C367" s="325"/>
      <c r="D367" s="1850" t="s">
        <v>1315</v>
      </c>
      <c r="E367" s="1850"/>
      <c r="F367" s="1850"/>
      <c r="G367" s="12"/>
    </row>
    <row r="368" spans="1:7" ht="13.1">
      <c r="A368" s="504"/>
      <c r="B368" s="504"/>
      <c r="C368" s="325"/>
      <c r="D368" s="1850"/>
      <c r="E368" s="1850"/>
      <c r="F368" s="1850"/>
      <c r="G368" s="12"/>
    </row>
    <row r="369" spans="1:7" ht="13.1">
      <c r="A369" s="504"/>
      <c r="B369" s="504"/>
      <c r="C369" s="325"/>
      <c r="D369" s="1850"/>
      <c r="E369" s="1850"/>
      <c r="F369" s="1850"/>
      <c r="G369" s="12"/>
    </row>
    <row r="370" spans="1:7" ht="13.1">
      <c r="A370" s="504"/>
      <c r="B370" s="504"/>
      <c r="C370" s="325"/>
      <c r="D370" s="1850"/>
      <c r="E370" s="1850"/>
      <c r="F370" s="1850"/>
      <c r="G370" s="12"/>
    </row>
    <row r="371" spans="1:7" ht="13.1">
      <c r="A371" s="504"/>
      <c r="B371" s="504"/>
      <c r="C371" s="325"/>
      <c r="D371" s="1850"/>
      <c r="E371" s="1850"/>
      <c r="F371" s="1850"/>
      <c r="G371" s="12"/>
    </row>
    <row r="372" spans="1:7">
      <c r="D372" s="135"/>
      <c r="E372" s="135"/>
      <c r="F372" s="135"/>
      <c r="G372" s="12"/>
    </row>
    <row r="373" spans="1:7" ht="13.1">
      <c r="A373" s="261"/>
      <c r="B373" s="677" t="s">
        <v>316</v>
      </c>
      <c r="C373" s="266"/>
      <c r="D373" s="1821" t="s">
        <v>1316</v>
      </c>
      <c r="E373" s="1821"/>
      <c r="F373" s="1821"/>
      <c r="G373" s="12"/>
    </row>
    <row r="374" spans="1:7" ht="13.1">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00000000000003" customHeight="1">
      <c r="A403" s="132"/>
      <c r="B403" s="674"/>
      <c r="C403" s="132"/>
      <c r="D403" s="1821"/>
      <c r="E403" s="1821"/>
      <c r="F403" s="1821"/>
      <c r="G403" s="30"/>
    </row>
    <row r="404" spans="1:7" s="32" customFormat="1">
      <c r="A404" s="132"/>
      <c r="B404" s="674"/>
      <c r="C404" s="132"/>
      <c r="D404" s="135"/>
      <c r="E404" s="135"/>
      <c r="F404" s="135"/>
      <c r="G404" s="30"/>
    </row>
    <row r="405" spans="1:7" ht="13.1">
      <c r="A405" s="261"/>
      <c r="B405" s="677" t="s">
        <v>316</v>
      </c>
      <c r="C405" s="266"/>
      <c r="D405" s="1834" t="s">
        <v>1317</v>
      </c>
      <c r="E405" s="1834"/>
      <c r="F405" s="1834"/>
    </row>
    <row r="406" spans="1:7">
      <c r="D406" s="1851" t="s">
        <v>1081</v>
      </c>
      <c r="E406" s="1851"/>
      <c r="F406" s="1851"/>
    </row>
    <row r="407" spans="1:7">
      <c r="D407" s="1835" t="s">
        <v>1318</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3.1">
      <c r="A412" s="261"/>
      <c r="B412" s="677" t="s">
        <v>316</v>
      </c>
      <c r="C412" s="266"/>
      <c r="D412" s="1821" t="s">
        <v>1319</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3.1">
      <c r="B416" s="677" t="s">
        <v>316</v>
      </c>
      <c r="C416" s="261"/>
      <c r="D416" s="1835" t="s">
        <v>1320</v>
      </c>
      <c r="E416" s="1835"/>
      <c r="F416" s="1835"/>
      <c r="G416" s="12"/>
    </row>
    <row r="417" spans="1:7">
      <c r="D417" s="1835"/>
      <c r="E417" s="1835"/>
      <c r="F417" s="1835"/>
      <c r="G417" s="12"/>
    </row>
    <row r="418" spans="1:7">
      <c r="D418" s="135"/>
      <c r="E418" s="135"/>
      <c r="F418" s="135"/>
      <c r="G418" s="12"/>
    </row>
    <row r="419" spans="1:7" ht="13.1">
      <c r="B419" s="677" t="s">
        <v>316</v>
      </c>
      <c r="C419" s="261"/>
      <c r="D419" s="1835" t="s">
        <v>1321</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316</v>
      </c>
      <c r="C430" s="12"/>
      <c r="D430" s="1835"/>
      <c r="E430" s="1835"/>
      <c r="F430" s="1835"/>
      <c r="G430" s="12"/>
    </row>
    <row r="431" spans="1:7">
      <c r="A431" s="12"/>
      <c r="B431" s="12"/>
      <c r="C431" s="12"/>
      <c r="D431" s="1835"/>
      <c r="E431" s="1835"/>
      <c r="F431" s="1835"/>
      <c r="G431" s="12"/>
    </row>
    <row r="432" spans="1:7">
      <c r="A432" s="12"/>
      <c r="B432" s="677" t="s">
        <v>316</v>
      </c>
      <c r="C432" s="12"/>
      <c r="D432" s="1835"/>
      <c r="E432" s="1835"/>
      <c r="F432" s="1835"/>
      <c r="G432" s="12"/>
    </row>
    <row r="433" spans="1:7" s="717" customFormat="1">
      <c r="D433" s="727"/>
      <c r="E433" s="727"/>
      <c r="F433" s="727"/>
    </row>
    <row r="434" spans="1:7">
      <c r="A434" s="12"/>
      <c r="B434" s="716" t="s">
        <v>316</v>
      </c>
      <c r="C434" s="12"/>
      <c r="D434" s="1835" t="s">
        <v>1322</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316</v>
      </c>
      <c r="D440" s="1836" t="s">
        <v>1323</v>
      </c>
      <c r="E440" s="1836"/>
      <c r="F440" s="1836"/>
    </row>
    <row r="441" spans="1:7">
      <c r="A441" s="135"/>
      <c r="B441" s="135"/>
    </row>
    <row r="442" spans="1:7" ht="13.1">
      <c r="A442" s="1841" t="s">
        <v>1164</v>
      </c>
      <c r="B442" s="1841"/>
      <c r="C442" s="1841"/>
      <c r="D442" s="1841"/>
      <c r="E442" s="1841"/>
      <c r="F442" s="1841"/>
      <c r="G442" s="1841"/>
    </row>
    <row r="443" spans="1:7">
      <c r="A443" s="135"/>
      <c r="B443" s="135"/>
    </row>
    <row r="444" spans="1:7" ht="13.1">
      <c r="D444" s="1837" t="s">
        <v>948</v>
      </c>
      <c r="E444" s="1837"/>
      <c r="F444" s="1837"/>
    </row>
    <row r="445" spans="1:7" s="39" customFormat="1" ht="13.1">
      <c r="A445" s="403"/>
      <c r="B445" s="403"/>
      <c r="C445" s="273"/>
      <c r="D445" s="1838" t="s">
        <v>1324</v>
      </c>
      <c r="E445" s="1838"/>
      <c r="F445" s="1838"/>
      <c r="G445" s="130"/>
    </row>
    <row r="446" spans="1:7" s="39" customFormat="1" ht="13.1">
      <c r="A446" s="403"/>
      <c r="B446" s="403"/>
      <c r="C446" s="273"/>
      <c r="D446" s="730"/>
      <c r="E446" s="6"/>
      <c r="F446" s="6"/>
      <c r="G446" s="130"/>
    </row>
    <row r="447" spans="1:7" s="39" customFormat="1" ht="13.1">
      <c r="A447" s="261"/>
      <c r="B447" s="677" t="s">
        <v>316</v>
      </c>
      <c r="C447" s="273"/>
      <c r="D447" s="1839" t="s">
        <v>1325</v>
      </c>
      <c r="E447" s="1839"/>
      <c r="F447" s="1839"/>
      <c r="G447" s="130"/>
    </row>
    <row r="448" spans="1:7" s="39" customFormat="1" ht="13.1">
      <c r="A448" s="261"/>
      <c r="B448" s="261"/>
      <c r="C448" s="273"/>
      <c r="D448" s="1839"/>
      <c r="E448" s="1839"/>
      <c r="F448" s="1839"/>
      <c r="G448" s="130"/>
    </row>
    <row r="449" spans="1:7" s="39" customFormat="1" ht="13.1">
      <c r="A449" s="261"/>
      <c r="B449" s="261"/>
      <c r="C449" s="273"/>
      <c r="D449" s="728"/>
      <c r="E449" s="6"/>
      <c r="F449" s="6"/>
      <c r="G449" s="130"/>
    </row>
    <row r="450" spans="1:7">
      <c r="B450" s="677" t="s">
        <v>316</v>
      </c>
      <c r="D450" s="1840" t="s">
        <v>1326</v>
      </c>
      <c r="E450" s="1840"/>
      <c r="F450" s="1840"/>
    </row>
    <row r="451" spans="1:7" ht="13.1">
      <c r="A451" s="261"/>
      <c r="D451" s="1840"/>
      <c r="E451" s="1840"/>
      <c r="F451" s="1840"/>
    </row>
    <row r="452" spans="1:7" ht="13.1">
      <c r="A452" s="261"/>
      <c r="B452" s="261"/>
      <c r="D452" s="1840"/>
      <c r="E452" s="1840"/>
      <c r="F452" s="1840"/>
    </row>
    <row r="453" spans="1:7" ht="13.1">
      <c r="A453" s="261"/>
      <c r="B453" s="261"/>
      <c r="D453" s="1840"/>
      <c r="E453" s="1840"/>
      <c r="F453" s="1840"/>
    </row>
    <row r="454" spans="1:7">
      <c r="D454" s="676"/>
      <c r="E454" s="676"/>
      <c r="F454" s="676"/>
      <c r="G454" s="12"/>
    </row>
    <row r="455" spans="1:7" ht="13.1">
      <c r="A455" s="261"/>
      <c r="B455" s="677" t="s">
        <v>316</v>
      </c>
      <c r="D455" s="1822" t="s">
        <v>1327</v>
      </c>
      <c r="E455" s="1822"/>
      <c r="F455" s="1822"/>
      <c r="G455" s="12"/>
    </row>
    <row r="456" spans="1:7" ht="13.1">
      <c r="A456" s="261"/>
      <c r="B456" s="261"/>
      <c r="D456" s="1822"/>
      <c r="E456" s="1822"/>
      <c r="F456" s="1822"/>
      <c r="G456" s="12"/>
    </row>
    <row r="457" spans="1:7" ht="13.1">
      <c r="A457" s="261"/>
      <c r="D457" s="1822"/>
      <c r="E457" s="1822"/>
      <c r="F457" s="1822"/>
      <c r="G457" s="12"/>
    </row>
    <row r="458" spans="1:7" ht="13.1">
      <c r="A458" s="261"/>
      <c r="B458" s="261"/>
      <c r="D458" s="676"/>
      <c r="E458" s="676"/>
      <c r="F458" s="676"/>
      <c r="G458" s="12"/>
    </row>
    <row r="459" spans="1:7" ht="13.1">
      <c r="A459" s="261"/>
      <c r="B459" s="716" t="s">
        <v>316</v>
      </c>
      <c r="D459" s="1834" t="s">
        <v>1328</v>
      </c>
      <c r="E459" s="1834"/>
      <c r="F459" s="1834"/>
      <c r="G459" s="12"/>
    </row>
    <row r="460" spans="1:7" ht="13.1">
      <c r="A460" s="261"/>
      <c r="B460" s="261"/>
      <c r="D460" s="728"/>
      <c r="E460" s="6"/>
      <c r="F460" s="6"/>
      <c r="G460" s="12"/>
    </row>
    <row r="461" spans="1:7" ht="13.1">
      <c r="A461" s="261"/>
      <c r="B461" s="677" t="s">
        <v>316</v>
      </c>
      <c r="D461" s="1821" t="s">
        <v>1329</v>
      </c>
      <c r="E461" s="1821"/>
      <c r="F461" s="1821"/>
      <c r="G461" s="12"/>
    </row>
    <row r="462" spans="1:7" ht="13.1">
      <c r="A462" s="261"/>
      <c r="D462" s="1821"/>
      <c r="E462" s="1821"/>
      <c r="F462" s="1821"/>
      <c r="G462" s="12"/>
    </row>
    <row r="463" spans="1:7" ht="13.1">
      <c r="A463" s="23"/>
      <c r="B463" s="673"/>
      <c r="D463" s="731"/>
      <c r="E463" s="6"/>
      <c r="F463" s="6"/>
      <c r="G463" s="12"/>
    </row>
    <row r="464" spans="1:7" ht="13.1">
      <c r="A464" s="23"/>
      <c r="B464" s="716" t="s">
        <v>316</v>
      </c>
      <c r="D464" s="1834" t="s">
        <v>1330</v>
      </c>
      <c r="E464" s="1834"/>
      <c r="F464" s="1834"/>
      <c r="G464" s="12"/>
    </row>
    <row r="465" spans="1:7" ht="13.1">
      <c r="A465" s="261"/>
      <c r="B465" s="261"/>
      <c r="D465" s="135"/>
    </row>
    <row r="466" spans="1:7" ht="13.1">
      <c r="A466" s="1841" t="s">
        <v>1165</v>
      </c>
      <c r="B466" s="1841"/>
      <c r="C466" s="1841"/>
      <c r="D466" s="1841"/>
      <c r="E466" s="1841"/>
      <c r="F466" s="1841"/>
      <c r="G466" s="1841"/>
    </row>
    <row r="467" spans="1:7" customFormat="1" ht="12" customHeight="1">
      <c r="A467" s="261"/>
      <c r="B467" s="261"/>
      <c r="C467" s="10"/>
      <c r="D467" s="151"/>
      <c r="E467" s="149"/>
      <c r="F467" s="149"/>
      <c r="G467" s="149"/>
    </row>
    <row r="468" spans="1:7" customFormat="1" ht="13.1">
      <c r="A468" s="273"/>
      <c r="B468" s="273"/>
      <c r="C468" s="312"/>
      <c r="D468" s="1842" t="s">
        <v>851</v>
      </c>
      <c r="E468" s="1842"/>
      <c r="F468" s="1842"/>
      <c r="G468" s="182"/>
    </row>
    <row r="469" spans="1:7" customFormat="1" ht="13.1" customHeight="1">
      <c r="A469" s="260"/>
      <c r="B469" s="260"/>
      <c r="C469" s="313"/>
      <c r="D469" s="1843" t="s">
        <v>1208</v>
      </c>
      <c r="E469" s="1843"/>
      <c r="F469" s="1843"/>
      <c r="G469" s="149"/>
    </row>
    <row r="470" spans="1:7" customFormat="1" ht="13.1">
      <c r="A470" s="260"/>
      <c r="B470" s="260"/>
      <c r="C470" s="313"/>
      <c r="D470" s="1843"/>
      <c r="E470" s="1843"/>
      <c r="F470" s="1843"/>
      <c r="G470" s="149"/>
    </row>
    <row r="471" spans="1:7" customFormat="1" ht="13.1">
      <c r="A471" s="260"/>
      <c r="B471" s="260"/>
      <c r="C471" s="313"/>
      <c r="D471" s="1843"/>
      <c r="E471" s="1843"/>
      <c r="F471" s="1843"/>
      <c r="G471" s="149"/>
    </row>
    <row r="472" spans="1:7" customFormat="1" ht="13.1">
      <c r="A472" s="260"/>
      <c r="B472" s="260"/>
      <c r="C472" s="313"/>
      <c r="D472" s="1843"/>
      <c r="E472" s="1843"/>
      <c r="F472" s="1843"/>
      <c r="G472" s="149"/>
    </row>
    <row r="473" spans="1:7" customFormat="1" ht="13.1">
      <c r="A473" s="260"/>
      <c r="B473" s="260"/>
      <c r="C473" s="313"/>
      <c r="D473" s="1843"/>
      <c r="E473" s="1843"/>
      <c r="F473" s="1843"/>
      <c r="G473" s="149"/>
    </row>
    <row r="474" spans="1:7" customFormat="1" ht="13.1">
      <c r="A474" s="260"/>
      <c r="B474" s="260"/>
      <c r="C474" s="313"/>
      <c r="D474" s="471"/>
      <c r="E474" s="149"/>
      <c r="F474" s="151"/>
      <c r="G474" s="149"/>
    </row>
    <row r="475" spans="1:7" customFormat="1" ht="14.5" customHeight="1">
      <c r="A475" s="261"/>
      <c r="B475" s="677" t="s">
        <v>316</v>
      </c>
      <c r="C475" s="313"/>
      <c r="D475" s="1883" t="s">
        <v>1199</v>
      </c>
      <c r="E475" s="1883"/>
      <c r="F475" s="1883"/>
      <c r="G475" s="149"/>
    </row>
    <row r="476" spans="1:7" customFormat="1" ht="13.1">
      <c r="A476" s="260"/>
      <c r="B476" s="260"/>
      <c r="C476" s="313"/>
      <c r="D476" s="1883"/>
      <c r="E476" s="1883"/>
      <c r="F476" s="1883"/>
      <c r="G476" s="149"/>
    </row>
    <row r="477" spans="1:7" s="678" customFormat="1" ht="13.1">
      <c r="A477" s="260"/>
      <c r="B477" s="260"/>
      <c r="C477" s="313"/>
      <c r="D477" s="1883"/>
      <c r="E477" s="1883"/>
      <c r="F477" s="1883"/>
      <c r="G477" s="149"/>
    </row>
    <row r="478" spans="1:7" s="678" customFormat="1" ht="13.1">
      <c r="A478" s="260"/>
      <c r="B478" s="260"/>
      <c r="C478" s="313"/>
      <c r="D478" s="1883"/>
      <c r="E478" s="1883"/>
      <c r="F478" s="1883"/>
      <c r="G478" s="149"/>
    </row>
    <row r="479" spans="1:7" customFormat="1" ht="13.1">
      <c r="A479" s="260"/>
      <c r="B479" s="260"/>
      <c r="C479" s="313"/>
      <c r="D479" s="1883"/>
      <c r="E479" s="1883"/>
      <c r="F479" s="1883"/>
      <c r="G479" s="149"/>
    </row>
    <row r="480" spans="1:7" customFormat="1" ht="13.1">
      <c r="A480" s="260"/>
      <c r="B480" s="260"/>
      <c r="C480" s="313"/>
      <c r="D480" s="443"/>
      <c r="E480" s="149"/>
      <c r="F480" s="151"/>
      <c r="G480" s="149"/>
    </row>
    <row r="481" spans="1:7" customFormat="1" ht="14.5" customHeight="1">
      <c r="A481" s="261"/>
      <c r="B481" s="677" t="s">
        <v>316</v>
      </c>
      <c r="C481" s="313"/>
      <c r="D481" s="1883" t="s">
        <v>1202</v>
      </c>
      <c r="E481" s="1883"/>
      <c r="F481" s="1883"/>
      <c r="G481" s="149"/>
    </row>
    <row r="482" spans="1:7" customFormat="1" ht="13.1">
      <c r="A482" s="260"/>
      <c r="B482" s="260"/>
      <c r="C482" s="313"/>
      <c r="D482" s="1883"/>
      <c r="E482" s="1883"/>
      <c r="F482" s="1883"/>
      <c r="G482" s="149"/>
    </row>
    <row r="483" spans="1:7" s="678" customFormat="1" ht="13.1">
      <c r="A483" s="260"/>
      <c r="B483" s="260"/>
      <c r="C483" s="313"/>
      <c r="D483" s="1883"/>
      <c r="E483" s="1883"/>
      <c r="F483" s="1883"/>
      <c r="G483" s="149"/>
    </row>
    <row r="484" spans="1:7" customFormat="1" ht="13.1">
      <c r="A484" s="260"/>
      <c r="B484" s="260"/>
      <c r="C484" s="313"/>
      <c r="D484" s="1883"/>
      <c r="E484" s="1883"/>
      <c r="F484" s="1883"/>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83" t="s">
        <v>1200</v>
      </c>
      <c r="E486" s="1883"/>
      <c r="F486" s="1883"/>
      <c r="G486" s="149"/>
    </row>
    <row r="487" spans="1:7" customFormat="1" ht="13.1">
      <c r="A487" s="260"/>
      <c r="B487" s="260"/>
      <c r="C487" s="313"/>
      <c r="D487" s="1883"/>
      <c r="E487" s="1883"/>
      <c r="F487" s="1883"/>
      <c r="G487" s="149"/>
    </row>
    <row r="488" spans="1:7" customFormat="1" ht="13.1">
      <c r="A488" s="260"/>
      <c r="B488" s="260"/>
      <c r="C488" s="313"/>
      <c r="D488" s="1883"/>
      <c r="E488" s="1883"/>
      <c r="F488" s="1883"/>
      <c r="G488" s="149"/>
    </row>
    <row r="489" spans="1:7" s="678" customFormat="1" ht="13.1">
      <c r="A489" s="260"/>
      <c r="B489" s="260"/>
      <c r="C489" s="313"/>
      <c r="D489" s="698"/>
      <c r="E489" s="698"/>
      <c r="F489" s="698"/>
      <c r="G489" s="149"/>
    </row>
    <row r="490" spans="1:7" customFormat="1" ht="14.5" customHeight="1">
      <c r="A490" s="261"/>
      <c r="B490" s="677" t="s">
        <v>316</v>
      </c>
      <c r="C490" s="313"/>
      <c r="D490" s="1883" t="s">
        <v>1201</v>
      </c>
      <c r="E490" s="1883"/>
      <c r="F490" s="1883"/>
      <c r="G490" s="149"/>
    </row>
    <row r="491" spans="1:7" customFormat="1" ht="13.1">
      <c r="A491" s="260"/>
      <c r="B491" s="260"/>
      <c r="C491" s="313"/>
      <c r="D491" s="1883"/>
      <c r="E491" s="1883"/>
      <c r="F491" s="1883"/>
      <c r="G491" s="149"/>
    </row>
    <row r="492" spans="1:7" customFormat="1" ht="13.1">
      <c r="A492" s="260"/>
      <c r="B492" s="260"/>
      <c r="C492" s="313"/>
      <c r="D492" s="1883"/>
      <c r="E492" s="1883"/>
      <c r="F492" s="1883"/>
      <c r="G492" s="149"/>
    </row>
    <row r="493" spans="1:7" customFormat="1" ht="13.1">
      <c r="A493" s="260"/>
      <c r="B493" s="260"/>
      <c r="C493" s="313"/>
      <c r="D493" s="1883"/>
      <c r="E493" s="1883"/>
      <c r="F493" s="1883"/>
      <c r="G493" s="149"/>
    </row>
    <row r="494" spans="1:7" customFormat="1" ht="13.1">
      <c r="A494" s="260"/>
      <c r="B494" s="260"/>
      <c r="C494" s="313"/>
      <c r="D494" s="1883"/>
      <c r="E494" s="1883"/>
      <c r="F494" s="1883"/>
      <c r="G494" s="149"/>
    </row>
    <row r="495" spans="1:7" customFormat="1" ht="13.1">
      <c r="A495" s="260"/>
      <c r="B495" s="260"/>
      <c r="C495" s="313"/>
      <c r="D495" s="1883"/>
      <c r="E495" s="1883"/>
      <c r="F495" s="1883"/>
      <c r="G495" s="149"/>
    </row>
    <row r="496" spans="1:7" customFormat="1" ht="13.1">
      <c r="A496" s="260"/>
      <c r="B496" s="260"/>
      <c r="C496" s="313"/>
      <c r="D496" s="1883"/>
      <c r="E496" s="1883"/>
      <c r="F496" s="1883"/>
      <c r="G496" s="149"/>
    </row>
    <row r="497" spans="1:7" customFormat="1" ht="13.1">
      <c r="A497" s="487"/>
      <c r="B497" s="487"/>
      <c r="C497" s="486"/>
      <c r="D497" s="1883"/>
      <c r="E497" s="1883"/>
      <c r="F497" s="1883"/>
      <c r="G497" s="149"/>
    </row>
    <row r="498" spans="1:7" customFormat="1" ht="13.1">
      <c r="A498" s="487"/>
      <c r="B498" s="487"/>
      <c r="C498" s="486"/>
      <c r="D498" s="1883"/>
      <c r="E498" s="1883"/>
      <c r="F498" s="1883"/>
      <c r="G498" s="149"/>
    </row>
    <row r="499" spans="1:7" customFormat="1" ht="13.1">
      <c r="A499" s="487"/>
      <c r="B499" s="487"/>
      <c r="C499" s="486"/>
      <c r="D499" s="443"/>
      <c r="E499" s="149"/>
      <c r="F499" s="151"/>
      <c r="G499" s="149"/>
    </row>
    <row r="500" spans="1:7" customFormat="1" ht="13.1" customHeight="1">
      <c r="A500" s="487"/>
      <c r="B500" s="677" t="s">
        <v>316</v>
      </c>
      <c r="C500" s="486"/>
      <c r="D500" s="1833" t="s">
        <v>1345</v>
      </c>
      <c r="E500" s="1833"/>
      <c r="F500" s="1833"/>
      <c r="G500" s="149"/>
    </row>
    <row r="501" spans="1:7" customFormat="1" ht="13.1">
      <c r="A501" s="487"/>
      <c r="B501" s="487"/>
      <c r="C501" s="486"/>
      <c r="D501" s="1833"/>
      <c r="E501" s="1833"/>
      <c r="F501" s="1833"/>
      <c r="G501" s="149"/>
    </row>
    <row r="502" spans="1:7" customFormat="1" ht="13.1">
      <c r="A502" s="487"/>
      <c r="B502" s="487"/>
      <c r="C502" s="486"/>
      <c r="D502" s="1833"/>
      <c r="E502" s="1833"/>
      <c r="F502" s="1833"/>
      <c r="G502" s="149"/>
    </row>
    <row r="503" spans="1:7" customFormat="1" ht="13.1">
      <c r="A503" s="487"/>
      <c r="B503" s="487"/>
      <c r="C503" s="486"/>
      <c r="D503" s="1833"/>
      <c r="E503" s="1833"/>
      <c r="F503" s="1833"/>
      <c r="G503" s="149"/>
    </row>
    <row r="504" spans="1:7" customFormat="1" ht="13.1">
      <c r="A504" s="260"/>
      <c r="B504" s="260"/>
      <c r="C504" s="313"/>
      <c r="D504" s="1833"/>
      <c r="E504" s="1833"/>
      <c r="F504" s="1833"/>
      <c r="G504" s="149"/>
    </row>
    <row r="505" spans="1:7" s="715" customFormat="1" ht="13.1">
      <c r="A505" s="718"/>
      <c r="B505" s="718"/>
      <c r="C505" s="313"/>
      <c r="D505" s="739"/>
      <c r="E505" s="739"/>
      <c r="F505" s="739"/>
      <c r="G505" s="149"/>
    </row>
    <row r="506" spans="1:7" customFormat="1" ht="14.5" customHeight="1">
      <c r="A506" s="261"/>
      <c r="B506" s="677" t="s">
        <v>316</v>
      </c>
      <c r="C506" s="10"/>
      <c r="D506" s="1883" t="s">
        <v>1203</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ht="13.1">
      <c r="A510" s="1841" t="s">
        <v>1166</v>
      </c>
      <c r="B510" s="1841"/>
      <c r="C510" s="1841"/>
      <c r="D510" s="1841"/>
      <c r="E510" s="1841"/>
      <c r="F510" s="1841"/>
      <c r="G510" s="1841"/>
    </row>
    <row r="511" spans="1:7" ht="13.1">
      <c r="A511" s="135"/>
      <c r="B511" s="135"/>
      <c r="C511" s="266"/>
      <c r="F511" s="134"/>
    </row>
    <row r="512" spans="1:7">
      <c r="B512" s="1869" t="s">
        <v>470</v>
      </c>
      <c r="C512" s="1869"/>
      <c r="D512" s="1869"/>
      <c r="E512" s="1869"/>
      <c r="F512" s="1869"/>
    </row>
    <row r="513" spans="1:7">
      <c r="A513" s="135"/>
      <c r="B513" s="135"/>
      <c r="C513" s="266"/>
      <c r="D513" s="135"/>
      <c r="F513" s="135"/>
    </row>
    <row r="514" spans="1:7" ht="13.1">
      <c r="A514" s="1891" t="s">
        <v>1167</v>
      </c>
      <c r="B514" s="1891"/>
      <c r="C514" s="1891"/>
      <c r="D514" s="1891"/>
      <c r="E514" s="1891"/>
      <c r="F514" s="1891"/>
      <c r="G514" s="1891"/>
    </row>
    <row r="515" spans="1:7">
      <c r="A515" s="135"/>
      <c r="B515" s="135"/>
      <c r="C515" s="266"/>
      <c r="D515" s="135"/>
      <c r="F515" s="135"/>
    </row>
    <row r="516" spans="1:7" ht="13.1">
      <c r="C516" s="266"/>
      <c r="D516" s="1844" t="s">
        <v>720</v>
      </c>
      <c r="E516" s="1844"/>
      <c r="F516" s="1844"/>
    </row>
    <row r="517" spans="1:7" s="680" customFormat="1">
      <c r="A517" s="697"/>
      <c r="B517" s="697"/>
      <c r="C517" s="266"/>
      <c r="D517" s="1834" t="s">
        <v>1224</v>
      </c>
      <c r="E517" s="1834"/>
      <c r="F517" s="1834"/>
      <c r="G517" s="7"/>
    </row>
    <row r="518" spans="1:7" s="680" customFormat="1">
      <c r="A518" s="697"/>
      <c r="B518" s="697"/>
      <c r="C518" s="266"/>
      <c r="D518" s="702"/>
      <c r="E518" s="702"/>
      <c r="F518" s="702"/>
      <c r="G518" s="7"/>
    </row>
    <row r="519" spans="1:7" ht="13.1" customHeight="1">
      <c r="A519" s="261"/>
      <c r="B519" s="677" t="s">
        <v>316</v>
      </c>
      <c r="C519" s="266"/>
      <c r="D519" s="1834" t="s">
        <v>949</v>
      </c>
      <c r="E519" s="1834"/>
      <c r="F519" s="1834"/>
      <c r="G519" s="12"/>
    </row>
    <row r="520" spans="1:7" ht="13.1" customHeight="1">
      <c r="A520" s="266"/>
      <c r="B520" s="266"/>
      <c r="C520" s="266"/>
      <c r="D520" s="702"/>
      <c r="E520" s="675"/>
      <c r="F520" s="675"/>
      <c r="G520" s="12"/>
    </row>
    <row r="521" spans="1:7" ht="13.1">
      <c r="A521" s="261"/>
      <c r="B521" s="677" t="s">
        <v>316</v>
      </c>
      <c r="C521" s="266"/>
      <c r="D521" s="1821" t="s">
        <v>1225</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3.1">
      <c r="A524" s="261"/>
      <c r="B524" s="677" t="s">
        <v>316</v>
      </c>
      <c r="C524" s="266"/>
      <c r="D524" s="1821" t="s">
        <v>1226</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3.1">
      <c r="A527" s="261"/>
      <c r="B527" s="677" t="s">
        <v>316</v>
      </c>
      <c r="C527" s="266"/>
      <c r="D527" s="1821" t="s">
        <v>1227</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3.1">
      <c r="A530" s="261"/>
      <c r="B530" s="677" t="s">
        <v>316</v>
      </c>
      <c r="C530" s="266"/>
      <c r="D530" s="1821" t="s">
        <v>1228</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3.1">
      <c r="A534" s="261"/>
      <c r="B534" s="677" t="s">
        <v>316</v>
      </c>
      <c r="C534" s="266"/>
      <c r="D534" s="1856" t="s">
        <v>1346</v>
      </c>
      <c r="E534" s="1856"/>
      <c r="F534" s="1856"/>
    </row>
    <row r="535" spans="1:7">
      <c r="A535" s="266"/>
      <c r="B535" s="266"/>
      <c r="C535" s="266"/>
      <c r="D535" s="1856"/>
      <c r="E535" s="1856"/>
      <c r="F535" s="1856"/>
    </row>
    <row r="536" spans="1:7">
      <c r="A536" s="266"/>
      <c r="B536" s="266"/>
      <c r="C536" s="266"/>
      <c r="D536" s="135"/>
      <c r="E536" s="135"/>
      <c r="F536" s="135"/>
    </row>
    <row r="537" spans="1:7" ht="13.1">
      <c r="A537" s="261"/>
      <c r="B537" s="677" t="s">
        <v>316</v>
      </c>
      <c r="C537" s="266"/>
      <c r="D537" s="1856" t="s">
        <v>1229</v>
      </c>
      <c r="E537" s="1856"/>
      <c r="F537" s="1856"/>
    </row>
    <row r="538" spans="1:7">
      <c r="A538" s="266"/>
      <c r="B538" s="266"/>
      <c r="C538" s="266"/>
      <c r="D538" s="1856"/>
      <c r="E538" s="1856"/>
      <c r="F538" s="1856"/>
    </row>
    <row r="539" spans="1:7">
      <c r="A539" s="266"/>
      <c r="B539" s="266"/>
      <c r="C539" s="266"/>
      <c r="D539" s="135"/>
      <c r="E539" s="135"/>
      <c r="F539" s="135"/>
    </row>
    <row r="540" spans="1:7" ht="13.1">
      <c r="A540" s="261"/>
      <c r="B540" s="677" t="s">
        <v>316</v>
      </c>
      <c r="C540" s="266"/>
      <c r="D540" s="1821" t="s">
        <v>1230</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3.1">
      <c r="A543" s="261"/>
      <c r="B543" s="677" t="s">
        <v>316</v>
      </c>
      <c r="C543" s="266"/>
      <c r="D543" s="1834" t="s">
        <v>1231</v>
      </c>
      <c r="E543" s="1834"/>
      <c r="F543" s="1834"/>
      <c r="G543" s="57"/>
    </row>
    <row r="544" spans="1:7" ht="13.1">
      <c r="A544" s="23"/>
      <c r="B544" s="673"/>
      <c r="C544" s="266"/>
      <c r="D544" s="1834" t="s">
        <v>881</v>
      </c>
      <c r="E544" s="1834"/>
      <c r="F544" s="1834"/>
      <c r="G544" s="57"/>
    </row>
    <row r="545" spans="1:7" ht="13.1">
      <c r="A545" s="23"/>
      <c r="B545" s="673"/>
      <c r="C545" s="266"/>
      <c r="D545" s="6"/>
      <c r="E545" s="1852" t="s">
        <v>1232</v>
      </c>
      <c r="F545" s="1852"/>
      <c r="G545" s="57"/>
    </row>
    <row r="546" spans="1:7" ht="13.1">
      <c r="A546" s="261"/>
      <c r="B546" s="261"/>
      <c r="C546" s="266"/>
      <c r="E546" s="135"/>
      <c r="F546" s="135"/>
      <c r="G546" s="57"/>
    </row>
    <row r="547" spans="1:7" ht="13.1">
      <c r="A547" s="261"/>
      <c r="B547" s="677" t="s">
        <v>316</v>
      </c>
      <c r="C547" s="266"/>
      <c r="D547" s="1896" t="s">
        <v>1233</v>
      </c>
      <c r="E547" s="1896"/>
      <c r="F547" s="1896"/>
      <c r="G547" s="57"/>
    </row>
    <row r="548" spans="1:7">
      <c r="C548" s="266"/>
      <c r="D548" s="1821" t="s">
        <v>1234</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3.1">
      <c r="A552" s="261"/>
      <c r="B552" s="677" t="s">
        <v>316</v>
      </c>
      <c r="C552" s="266"/>
      <c r="D552" s="1821" t="s">
        <v>1235</v>
      </c>
      <c r="E552" s="1821"/>
      <c r="F552" s="1821"/>
      <c r="G552" s="57"/>
    </row>
    <row r="553" spans="1:7" ht="13.1">
      <c r="A553" s="261"/>
      <c r="B553" s="261"/>
      <c r="C553" s="266"/>
      <c r="D553" s="1821"/>
      <c r="E553" s="1821"/>
      <c r="F553" s="1821"/>
      <c r="G553" s="57"/>
    </row>
    <row r="554" spans="1:7" ht="13.1">
      <c r="A554" s="261"/>
      <c r="B554" s="261"/>
      <c r="C554" s="266"/>
      <c r="D554" s="1821"/>
      <c r="E554" s="1821"/>
      <c r="F554" s="1821"/>
      <c r="G554" s="57"/>
    </row>
    <row r="555" spans="1:7" ht="13.1">
      <c r="A555" s="261"/>
      <c r="B555" s="261"/>
      <c r="C555" s="266"/>
      <c r="D555" s="1821"/>
      <c r="E555" s="1821"/>
      <c r="F555" s="1821"/>
      <c r="G555" s="57"/>
    </row>
    <row r="556" spans="1:7" ht="13.1">
      <c r="A556" s="261"/>
      <c r="B556" s="261"/>
      <c r="C556" s="266"/>
      <c r="D556" s="135"/>
      <c r="E556" s="135"/>
      <c r="F556" s="135"/>
      <c r="G556" s="57"/>
    </row>
    <row r="557" spans="1:7" ht="13.1">
      <c r="A557" s="1841" t="s">
        <v>1168</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ht="13.1">
      <c r="A560" s="260"/>
      <c r="B560" s="260"/>
      <c r="C560" s="260"/>
      <c r="D560" s="1864" t="s">
        <v>1184</v>
      </c>
      <c r="E560" s="1864"/>
      <c r="F560" s="1864"/>
      <c r="G560" s="57"/>
    </row>
    <row r="561" spans="1:7" ht="13.1">
      <c r="A561" s="12"/>
      <c r="B561" s="12"/>
      <c r="C561" s="260"/>
      <c r="D561" s="377"/>
      <c r="G561" s="57"/>
    </row>
    <row r="562" spans="1:7" ht="13.1">
      <c r="A562" s="260"/>
      <c r="B562" s="677" t="s">
        <v>316</v>
      </c>
      <c r="D562" s="1864" t="s">
        <v>955</v>
      </c>
      <c r="E562" s="1864"/>
      <c r="F562" s="1864"/>
      <c r="G562" s="57"/>
    </row>
    <row r="563" spans="1:7" ht="13.1">
      <c r="A563" s="23"/>
      <c r="B563" s="673"/>
      <c r="D563" s="325"/>
    </row>
    <row r="564" spans="1:7" ht="13.1">
      <c r="A564" s="23"/>
      <c r="B564" s="677" t="s">
        <v>316</v>
      </c>
      <c r="D564" s="1840" t="s">
        <v>1185</v>
      </c>
      <c r="E564" s="1840"/>
      <c r="F564" s="1840"/>
    </row>
    <row r="565" spans="1:7" ht="13.1">
      <c r="A565" s="23"/>
      <c r="B565" s="673"/>
      <c r="D565" s="1840"/>
      <c r="E565" s="1840"/>
      <c r="F565" s="1840"/>
    </row>
    <row r="566" spans="1:7" ht="13.1">
      <c r="A566" s="23"/>
      <c r="B566" s="686"/>
      <c r="D566" s="1840"/>
      <c r="E566" s="1840"/>
      <c r="F566" s="1840"/>
    </row>
    <row r="567" spans="1:7" ht="13.1">
      <c r="A567" s="23"/>
      <c r="B567" s="673"/>
      <c r="D567" s="478"/>
    </row>
    <row r="568" spans="1:7" s="680" customFormat="1" ht="13.1">
      <c r="A568" s="686"/>
      <c r="B568" s="677" t="s">
        <v>316</v>
      </c>
      <c r="C568" s="687"/>
      <c r="D568" s="1840" t="s">
        <v>1186</v>
      </c>
      <c r="E568" s="1840"/>
      <c r="F568" s="1840"/>
      <c r="G568" s="7"/>
    </row>
    <row r="569" spans="1:7" s="680" customFormat="1" ht="13.1">
      <c r="A569" s="686"/>
      <c r="B569" s="686"/>
      <c r="C569" s="687"/>
      <c r="D569" s="1840"/>
      <c r="E569" s="1840"/>
      <c r="F569" s="1840"/>
      <c r="G569" s="7"/>
    </row>
    <row r="570" spans="1:7" s="680" customFormat="1" ht="13.1">
      <c r="A570" s="686"/>
      <c r="B570" s="686"/>
      <c r="C570" s="687"/>
      <c r="D570" s="1840"/>
      <c r="E570" s="1840"/>
      <c r="F570" s="1840"/>
      <c r="G570" s="7"/>
    </row>
    <row r="571" spans="1:7" s="680" customFormat="1" ht="13.1">
      <c r="A571" s="686"/>
      <c r="B571" s="686"/>
      <c r="C571" s="687"/>
      <c r="D571" s="1840"/>
      <c r="E571" s="1840"/>
      <c r="F571" s="1840"/>
      <c r="G571" s="7"/>
    </row>
    <row r="572" spans="1:7" s="680" customFormat="1" ht="13.1">
      <c r="A572" s="686"/>
      <c r="B572" s="686"/>
      <c r="C572" s="687"/>
      <c r="D572" s="692"/>
      <c r="E572" s="692"/>
      <c r="F572" s="692"/>
      <c r="G572" s="7"/>
    </row>
    <row r="573" spans="1:7" ht="13.1">
      <c r="A573" s="23"/>
      <c r="B573" s="677" t="s">
        <v>316</v>
      </c>
      <c r="D573" s="1840" t="s">
        <v>1187</v>
      </c>
      <c r="E573" s="1840"/>
      <c r="F573" s="1840"/>
    </row>
    <row r="574" spans="1:7" ht="13.1">
      <c r="A574" s="23"/>
      <c r="B574" s="673"/>
      <c r="D574" s="1840"/>
      <c r="E574" s="1840"/>
      <c r="F574" s="1840"/>
    </row>
    <row r="575" spans="1:7" ht="13.1">
      <c r="A575" s="23"/>
      <c r="B575" s="673"/>
      <c r="D575" s="377"/>
    </row>
    <row r="576" spans="1:7" s="680" customFormat="1" ht="13.1">
      <c r="A576" s="686"/>
      <c r="B576" s="677" t="s">
        <v>316</v>
      </c>
      <c r="C576" s="687"/>
      <c r="D576" s="1864" t="s">
        <v>1188</v>
      </c>
      <c r="E576" s="1864"/>
      <c r="F576" s="1864"/>
      <c r="G576" s="7"/>
    </row>
    <row r="577" spans="1:7" s="680" customFormat="1" ht="13.1">
      <c r="A577" s="686"/>
      <c r="B577" s="686"/>
      <c r="C577" s="687"/>
      <c r="D577" s="1864"/>
      <c r="E577" s="1864"/>
      <c r="F577" s="1864"/>
      <c r="G577" s="7"/>
    </row>
    <row r="578" spans="1:7" s="680" customFormat="1" ht="13.1">
      <c r="A578" s="686"/>
      <c r="B578" s="686"/>
      <c r="C578" s="687"/>
      <c r="D578" s="377"/>
      <c r="E578" s="7"/>
      <c r="F578" s="7"/>
      <c r="G578" s="7"/>
    </row>
    <row r="579" spans="1:7" ht="13.1">
      <c r="A579" s="261"/>
      <c r="B579" s="677" t="s">
        <v>316</v>
      </c>
      <c r="D579" s="1864" t="s">
        <v>950</v>
      </c>
      <c r="E579" s="1864"/>
      <c r="F579" s="1864"/>
    </row>
    <row r="580" spans="1:7" ht="13.1">
      <c r="A580" s="261"/>
      <c r="B580" s="261"/>
      <c r="D580" s="377"/>
    </row>
    <row r="581" spans="1:7" ht="13.1">
      <c r="A581" s="261"/>
      <c r="B581" s="677" t="s">
        <v>316</v>
      </c>
      <c r="D581" s="1864" t="s">
        <v>1189</v>
      </c>
      <c r="E581" s="1864"/>
      <c r="F581" s="1864"/>
    </row>
    <row r="582" spans="1:7" ht="13.1">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ht="13.1">
      <c r="A588" s="1841" t="s">
        <v>1169</v>
      </c>
      <c r="B588" s="1841"/>
      <c r="C588" s="1841"/>
      <c r="D588" s="1841"/>
      <c r="E588" s="1841"/>
      <c r="F588" s="1841"/>
      <c r="G588" s="1841"/>
    </row>
    <row r="589" spans="1:7"/>
    <row r="590" spans="1:7" ht="13.1">
      <c r="D590" s="1858" t="s">
        <v>1269</v>
      </c>
      <c r="E590" s="1858"/>
      <c r="F590" s="1858"/>
    </row>
    <row r="591" spans="1:7">
      <c r="D591" s="1897" t="s">
        <v>1270</v>
      </c>
      <c r="E591" s="1897"/>
      <c r="F591" s="1897"/>
    </row>
    <row r="592" spans="1:7" s="717" customFormat="1">
      <c r="A592" s="703"/>
      <c r="B592" s="703"/>
      <c r="C592" s="703"/>
      <c r="D592" s="721"/>
      <c r="E592" s="720"/>
      <c r="F592" s="720"/>
      <c r="G592" s="7"/>
    </row>
    <row r="593" spans="1:7" s="39" customFormat="1" ht="13.1">
      <c r="A593" s="403"/>
      <c r="B593" s="677" t="s">
        <v>316</v>
      </c>
      <c r="C593" s="273"/>
      <c r="D593" s="1860" t="s">
        <v>1271</v>
      </c>
      <c r="E593" s="1860"/>
      <c r="F593" s="1860"/>
      <c r="G593" s="130"/>
    </row>
    <row r="594" spans="1:7">
      <c r="D594" s="1860"/>
      <c r="E594" s="1860"/>
      <c r="F594" s="1860"/>
    </row>
    <row r="595" spans="1:7">
      <c r="D595" s="1860"/>
      <c r="E595" s="1860"/>
      <c r="F595" s="1860"/>
    </row>
    <row r="596" spans="1:7"/>
    <row r="597" spans="1:7" ht="13.1">
      <c r="A597" s="1841" t="s">
        <v>1170</v>
      </c>
      <c r="B597" s="1841"/>
      <c r="C597" s="1841"/>
      <c r="D597" s="1841"/>
      <c r="E597" s="1841"/>
      <c r="F597" s="1841"/>
      <c r="G597" s="1841"/>
    </row>
    <row r="598" spans="1:7">
      <c r="A598" s="135"/>
      <c r="B598" s="135"/>
      <c r="G598" s="57"/>
    </row>
    <row r="599" spans="1:7" ht="13.1">
      <c r="A599" s="257"/>
      <c r="B599" s="672"/>
      <c r="C599" s="255"/>
      <c r="D599" s="1898" t="s">
        <v>1272</v>
      </c>
      <c r="E599" s="1898"/>
      <c r="F599" s="1898"/>
      <c r="G599" s="57"/>
    </row>
    <row r="600" spans="1:7" ht="13.1">
      <c r="A600" s="257"/>
      <c r="B600" s="672"/>
      <c r="C600" s="255"/>
      <c r="D600" s="1898"/>
      <c r="E600" s="1898"/>
      <c r="F600" s="1898"/>
      <c r="G600" s="57"/>
    </row>
    <row r="601" spans="1:7" ht="13.1">
      <c r="C601" s="260"/>
      <c r="D601" s="1897" t="s">
        <v>1273</v>
      </c>
      <c r="E601" s="1897"/>
      <c r="F601" s="1897"/>
      <c r="G601" s="57"/>
    </row>
    <row r="602" spans="1:7" s="717" customFormat="1" ht="13.1">
      <c r="A602" s="703"/>
      <c r="B602" s="703"/>
      <c r="C602" s="718"/>
      <c r="D602" s="722"/>
      <c r="E602" s="722"/>
      <c r="F602" s="722"/>
      <c r="G602" s="57"/>
    </row>
    <row r="603" spans="1:7" ht="13.1">
      <c r="A603" s="23"/>
      <c r="B603" s="677" t="s">
        <v>316</v>
      </c>
      <c r="D603" s="1897" t="s">
        <v>453</v>
      </c>
      <c r="E603" s="1897"/>
      <c r="F603" s="1897"/>
      <c r="G603" s="57"/>
    </row>
    <row r="604" spans="1:7" ht="13.1">
      <c r="C604" s="268"/>
      <c r="E604" s="12"/>
      <c r="G604" s="57"/>
    </row>
    <row r="605" spans="1:7" ht="13.1">
      <c r="A605" s="23"/>
      <c r="B605" s="677" t="s">
        <v>316</v>
      </c>
      <c r="D605" s="1857" t="s">
        <v>1274</v>
      </c>
      <c r="E605" s="1857"/>
      <c r="F605" s="1857"/>
      <c r="G605" s="57"/>
    </row>
    <row r="606" spans="1:7">
      <c r="D606" s="1857"/>
      <c r="E606" s="1857"/>
      <c r="F606" s="1857"/>
      <c r="G606" s="57"/>
    </row>
    <row r="607" spans="1:7">
      <c r="D607" s="12"/>
      <c r="G607" s="57"/>
    </row>
    <row r="608" spans="1:7">
      <c r="B608" s="677" t="s">
        <v>316</v>
      </c>
      <c r="D608" s="1857" t="s">
        <v>1275</v>
      </c>
      <c r="E608" s="1857"/>
      <c r="F608" s="1857"/>
      <c r="G608" s="57"/>
    </row>
    <row r="609" spans="1:7" ht="13.1">
      <c r="C609" s="268"/>
      <c r="D609" s="1857"/>
      <c r="E609" s="1857"/>
      <c r="F609" s="1857"/>
      <c r="G609" s="57"/>
    </row>
    <row r="610" spans="1:7" ht="13.1">
      <c r="C610" s="268"/>
      <c r="G610" s="57"/>
    </row>
    <row r="611" spans="1:7" ht="13.1">
      <c r="B611" s="677" t="s">
        <v>316</v>
      </c>
      <c r="C611" s="268"/>
      <c r="D611" s="1857" t="s">
        <v>1276</v>
      </c>
      <c r="E611" s="1857"/>
      <c r="F611" s="1857"/>
      <c r="G611" s="57"/>
    </row>
    <row r="612" spans="1:7" ht="13.1">
      <c r="C612" s="268"/>
      <c r="D612" s="1857"/>
      <c r="E612" s="1857"/>
      <c r="F612" s="1857"/>
      <c r="G612" s="57"/>
    </row>
    <row r="613" spans="1:7" ht="13.1">
      <c r="C613" s="268"/>
      <c r="G613" s="57"/>
    </row>
    <row r="614" spans="1:7" ht="13.1">
      <c r="A614" s="1841" t="s">
        <v>1171</v>
      </c>
      <c r="B614" s="1841"/>
      <c r="C614" s="1841"/>
      <c r="D614" s="1841"/>
      <c r="E614" s="1841"/>
      <c r="F614" s="1841"/>
      <c r="G614" s="1841"/>
    </row>
    <row r="615" spans="1:7" ht="13.1">
      <c r="A615" s="267"/>
      <c r="B615" s="267"/>
      <c r="C615" s="267"/>
      <c r="G615" s="57"/>
    </row>
    <row r="616" spans="1:7" ht="13.1">
      <c r="C616" s="23"/>
      <c r="D616" s="1858" t="s">
        <v>1277</v>
      </c>
      <c r="E616" s="1858"/>
      <c r="F616" s="1858"/>
      <c r="G616" s="57"/>
    </row>
    <row r="617" spans="1:7" ht="13.1">
      <c r="A617" s="23"/>
      <c r="B617" s="673"/>
      <c r="C617" s="265"/>
      <c r="D617" s="50"/>
      <c r="G617" s="57"/>
    </row>
    <row r="618" spans="1:7" ht="13.1">
      <c r="A618" s="261"/>
      <c r="B618" s="677" t="s">
        <v>316</v>
      </c>
      <c r="C618" s="265"/>
      <c r="D618" s="1859" t="s">
        <v>1278</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ht="13.1">
      <c r="A625" s="261"/>
      <c r="B625" s="677" t="s">
        <v>316</v>
      </c>
      <c r="C625" s="265"/>
      <c r="D625" s="1859" t="s">
        <v>1279</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3.1">
      <c r="A628" s="261"/>
      <c r="B628" s="677" t="s">
        <v>316</v>
      </c>
      <c r="C628" s="266"/>
      <c r="D628" s="1860" t="s">
        <v>1280</v>
      </c>
      <c r="E628" s="1860"/>
      <c r="F628" s="1860"/>
      <c r="G628" s="57"/>
    </row>
    <row r="629" spans="1:7" ht="13.1">
      <c r="A629" s="261"/>
      <c r="B629" s="261"/>
      <c r="C629" s="266"/>
      <c r="D629" s="1860"/>
      <c r="E629" s="1860"/>
      <c r="F629" s="1860"/>
      <c r="G629" s="57"/>
    </row>
    <row r="630" spans="1:7" ht="13.1">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316</v>
      </c>
      <c r="C633" s="266"/>
      <c r="D633" s="1861" t="s">
        <v>1281</v>
      </c>
      <c r="E633" s="1861"/>
      <c r="F633" s="1861"/>
      <c r="G633" s="57"/>
    </row>
    <row r="634" spans="1:7">
      <c r="A634" s="266"/>
      <c r="B634" s="266"/>
      <c r="C634" s="266"/>
      <c r="D634" s="725"/>
      <c r="E634" s="725"/>
      <c r="F634" s="725"/>
      <c r="G634" s="57"/>
    </row>
    <row r="635" spans="1:7" ht="13.1">
      <c r="A635" s="1841" t="s">
        <v>1172</v>
      </c>
      <c r="B635" s="1841"/>
      <c r="C635" s="1841"/>
      <c r="D635" s="1841"/>
      <c r="E635" s="1841"/>
      <c r="F635" s="1841"/>
      <c r="G635" s="1841"/>
    </row>
    <row r="636" spans="1:7">
      <c r="A636" s="135"/>
      <c r="B636" s="135"/>
      <c r="C636" s="266"/>
      <c r="D636" s="147"/>
      <c r="E636" s="147"/>
      <c r="F636" s="147"/>
      <c r="G636" s="57"/>
    </row>
    <row r="637" spans="1:7" ht="13.1">
      <c r="C637" s="267"/>
      <c r="D637" s="1862" t="s">
        <v>1331</v>
      </c>
      <c r="E637" s="1862"/>
      <c r="F637" s="1862"/>
      <c r="G637" s="57"/>
    </row>
    <row r="638" spans="1:7" ht="13.1">
      <c r="A638" s="260"/>
      <c r="B638" s="260"/>
      <c r="C638" s="260"/>
      <c r="D638" s="1863" t="s">
        <v>1332</v>
      </c>
      <c r="E638" s="1863"/>
      <c r="F638" s="1863"/>
      <c r="G638" s="57"/>
    </row>
    <row r="639" spans="1:7" s="717" customFormat="1" ht="13.1">
      <c r="A639" s="718"/>
      <c r="B639" s="718"/>
      <c r="C639" s="718"/>
      <c r="D639" s="732"/>
      <c r="E639" s="732"/>
      <c r="F639" s="732"/>
      <c r="G639" s="57"/>
    </row>
    <row r="640" spans="1:7" ht="14.5" customHeight="1">
      <c r="A640" s="261"/>
      <c r="B640" s="677" t="s">
        <v>316</v>
      </c>
      <c r="C640" s="266"/>
      <c r="D640" s="1819" t="s">
        <v>1333</v>
      </c>
      <c r="E640" s="1819"/>
      <c r="F640" s="1819"/>
      <c r="G640" s="57"/>
    </row>
    <row r="641" spans="1:11" ht="13.1">
      <c r="A641" s="261"/>
      <c r="B641" s="261"/>
      <c r="C641" s="266"/>
      <c r="D641" s="1819"/>
      <c r="E641" s="1819"/>
      <c r="F641" s="1819"/>
      <c r="G641" s="57"/>
    </row>
    <row r="642" spans="1:11" ht="13.1">
      <c r="A642" s="261"/>
      <c r="B642" s="261"/>
      <c r="C642" s="266"/>
      <c r="D642" s="1819"/>
      <c r="E642" s="1819"/>
      <c r="F642" s="1819"/>
      <c r="G642" s="57"/>
    </row>
    <row r="643" spans="1:11" ht="13.1">
      <c r="A643" s="261"/>
      <c r="B643" s="261"/>
      <c r="C643" s="266"/>
      <c r="D643" s="1819"/>
      <c r="E643" s="1819"/>
      <c r="F643" s="1819"/>
      <c r="G643" s="57"/>
    </row>
    <row r="644" spans="1:11" s="680" customFormat="1" ht="13.1">
      <c r="A644" s="261"/>
      <c r="B644" s="261"/>
      <c r="C644" s="266"/>
      <c r="D644" s="1819"/>
      <c r="E644" s="1819"/>
      <c r="F644" s="1819"/>
      <c r="G644" s="57"/>
    </row>
    <row r="645" spans="1:11" s="717" customFormat="1" ht="13.1">
      <c r="A645" s="712"/>
      <c r="B645" s="712"/>
      <c r="C645" s="266"/>
      <c r="D645" s="734"/>
      <c r="E645" s="734"/>
      <c r="F645" s="734"/>
      <c r="G645" s="57"/>
    </row>
    <row r="646" spans="1:11" s="680" customFormat="1" ht="13.1">
      <c r="A646" s="261"/>
      <c r="B646" s="677" t="s">
        <v>316</v>
      </c>
      <c r="C646" s="266"/>
      <c r="D646" s="1880" t="s">
        <v>1183</v>
      </c>
      <c r="E646" s="1880"/>
      <c r="F646" s="1880"/>
      <c r="G646" s="57"/>
    </row>
    <row r="647" spans="1:11" s="680" customFormat="1" ht="13.1">
      <c r="A647" s="261"/>
      <c r="B647" s="261"/>
      <c r="C647" s="266"/>
      <c r="D647" s="1881" t="s">
        <v>1334</v>
      </c>
      <c r="E647" s="1881"/>
      <c r="F647" s="1881"/>
      <c r="G647" s="57"/>
    </row>
    <row r="648" spans="1:11" s="680" customFormat="1" ht="13.1">
      <c r="A648" s="261"/>
      <c r="B648" s="261"/>
      <c r="C648" s="266"/>
      <c r="D648" s="1881"/>
      <c r="E648" s="1881"/>
      <c r="F648" s="1881"/>
      <c r="G648" s="57"/>
    </row>
    <row r="649" spans="1:11" s="680" customFormat="1" ht="13.1">
      <c r="A649" s="261"/>
      <c r="B649" s="261"/>
      <c r="C649" s="266"/>
      <c r="D649" s="1881"/>
      <c r="E649" s="1881"/>
      <c r="F649" s="1881"/>
      <c r="G649" s="57"/>
    </row>
    <row r="650" spans="1:11" s="680" customFormat="1" ht="13.1">
      <c r="A650" s="261"/>
      <c r="B650" s="261"/>
      <c r="C650" s="266"/>
      <c r="D650" s="1881"/>
      <c r="E650" s="1881"/>
      <c r="F650" s="1881"/>
      <c r="G650" s="57"/>
    </row>
    <row r="651" spans="1:11" s="680" customFormat="1" ht="13.1">
      <c r="A651" s="261"/>
      <c r="B651" s="261"/>
      <c r="C651" s="266"/>
      <c r="D651" s="1881"/>
      <c r="E651" s="1881"/>
      <c r="F651" s="1881"/>
      <c r="G651" s="57"/>
    </row>
    <row r="652" spans="1:11" s="680" customFormat="1" ht="13.1">
      <c r="A652" s="261"/>
      <c r="B652" s="261"/>
      <c r="C652" s="266"/>
      <c r="D652" s="1882" t="s">
        <v>1335</v>
      </c>
      <c r="E652" s="1882"/>
      <c r="F652" s="1882"/>
      <c r="G652" s="57"/>
    </row>
    <row r="653" spans="1:11">
      <c r="A653" s="266"/>
      <c r="B653" s="266"/>
      <c r="C653" s="266"/>
      <c r="D653" s="147"/>
      <c r="E653" s="147"/>
      <c r="F653" s="147"/>
      <c r="G653" s="57"/>
    </row>
    <row r="654" spans="1:11" ht="13.1">
      <c r="A654" s="1841" t="s">
        <v>1173</v>
      </c>
      <c r="B654" s="1841"/>
      <c r="C654" s="1841"/>
      <c r="D654" s="1841"/>
      <c r="E654" s="1841"/>
      <c r="F654" s="1841"/>
      <c r="G654" s="1841"/>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4" t="s">
        <v>104</v>
      </c>
      <c r="E656" s="1844"/>
      <c r="F656" s="1844"/>
      <c r="G656" s="57"/>
      <c r="H656" s="269"/>
      <c r="I656" s="269"/>
      <c r="J656" s="269"/>
      <c r="K656" s="269"/>
    </row>
    <row r="657" spans="1:11" ht="13.1">
      <c r="A657" s="267"/>
      <c r="B657" s="267"/>
      <c r="C657" s="267"/>
      <c r="D657" s="1844" t="s">
        <v>128</v>
      </c>
      <c r="E657" s="1844"/>
      <c r="F657" s="1844"/>
      <c r="G657" s="57"/>
      <c r="H657" s="269"/>
      <c r="I657" s="269"/>
      <c r="J657" s="269"/>
      <c r="K657" s="269"/>
    </row>
    <row r="658" spans="1:11" ht="13.1">
      <c r="A658" s="260"/>
      <c r="B658" s="260"/>
      <c r="C658" s="260"/>
      <c r="D658" s="1834" t="s">
        <v>1209</v>
      </c>
      <c r="E658" s="1834"/>
      <c r="F658" s="1834"/>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34" t="s">
        <v>951</v>
      </c>
      <c r="E660" s="1834"/>
      <c r="F660" s="1834"/>
      <c r="G660" s="57"/>
      <c r="H660" s="269"/>
      <c r="I660" s="269"/>
      <c r="J660" s="269"/>
      <c r="K660" s="269"/>
    </row>
    <row r="661" spans="1:11" ht="13.1">
      <c r="A661" s="260"/>
      <c r="B661" s="260"/>
      <c r="C661" s="260"/>
      <c r="D661" s="1834" t="s">
        <v>962</v>
      </c>
      <c r="E661" s="1834"/>
      <c r="F661" s="1834"/>
      <c r="G661" s="57"/>
      <c r="H661" s="269"/>
      <c r="I661" s="269"/>
      <c r="J661" s="269"/>
      <c r="K661" s="269"/>
    </row>
    <row r="662" spans="1:11" ht="13.1">
      <c r="A662" s="260"/>
      <c r="B662" s="260"/>
      <c r="C662" s="260"/>
      <c r="D662" s="6"/>
      <c r="E662" s="1830" t="s">
        <v>1210</v>
      </c>
      <c r="F662" s="1830"/>
      <c r="G662" s="57"/>
      <c r="H662" s="269"/>
      <c r="I662" s="269"/>
      <c r="J662" s="269"/>
      <c r="K662" s="269"/>
    </row>
    <row r="663" spans="1:11" ht="13.1">
      <c r="A663" s="260"/>
      <c r="B663" s="260"/>
      <c r="C663" s="260"/>
      <c r="D663" s="6"/>
      <c r="E663" s="1830"/>
      <c r="F663" s="1830"/>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21" t="s">
        <v>1211</v>
      </c>
      <c r="E665" s="1821"/>
      <c r="F665" s="1821"/>
      <c r="G665" s="57"/>
      <c r="H665" s="269"/>
      <c r="I665" s="269"/>
      <c r="J665" s="269"/>
      <c r="K665" s="269"/>
    </row>
    <row r="666" spans="1:11" ht="13.1">
      <c r="A666" s="23"/>
      <c r="B666" s="673"/>
      <c r="C666" s="260"/>
      <c r="D666" s="1821"/>
      <c r="E666" s="1821"/>
      <c r="F666" s="1821"/>
      <c r="G666" s="57"/>
      <c r="H666" s="269"/>
      <c r="I666" s="269"/>
      <c r="J666" s="269"/>
      <c r="K666" s="269"/>
    </row>
    <row r="667" spans="1:11" ht="13.1">
      <c r="A667" s="260"/>
      <c r="B667" s="260"/>
      <c r="C667" s="260"/>
      <c r="D667" s="1821"/>
      <c r="E667" s="1821"/>
      <c r="F667" s="1821"/>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34" t="s">
        <v>991</v>
      </c>
      <c r="E669" s="1834"/>
      <c r="F669" s="1834"/>
      <c r="G669" s="57"/>
      <c r="H669" s="269"/>
      <c r="I669" s="269"/>
      <c r="J669" s="269"/>
      <c r="K669" s="269"/>
    </row>
    <row r="670" spans="1:11" ht="13.1">
      <c r="A670" s="261"/>
      <c r="B670" s="261"/>
      <c r="C670" s="260"/>
      <c r="D670" s="1834" t="s">
        <v>962</v>
      </c>
      <c r="E670" s="1834"/>
      <c r="F670" s="1834"/>
      <c r="G670" s="57"/>
      <c r="H670" s="269"/>
      <c r="I670" s="269"/>
      <c r="J670" s="269"/>
      <c r="K670" s="269"/>
    </row>
    <row r="671" spans="1:11" ht="13.1">
      <c r="A671" s="260"/>
      <c r="B671" s="260"/>
      <c r="C671" s="260"/>
      <c r="D671" s="6"/>
      <c r="E671" s="1852" t="s">
        <v>1212</v>
      </c>
      <c r="F671" s="1852"/>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56" t="s">
        <v>1222</v>
      </c>
      <c r="E673" s="1856"/>
      <c r="F673" s="1856"/>
      <c r="G673" s="57"/>
      <c r="H673" s="269"/>
      <c r="I673" s="269"/>
      <c r="J673" s="269"/>
      <c r="K673" s="269"/>
    </row>
    <row r="674" spans="1:11" ht="13.1">
      <c r="A674" s="260"/>
      <c r="B674" s="260"/>
      <c r="C674" s="260"/>
      <c r="D674" s="1856"/>
      <c r="E674" s="1856"/>
      <c r="F674" s="1856"/>
      <c r="G674" s="57"/>
      <c r="H674" s="269"/>
      <c r="I674" s="269"/>
      <c r="J674" s="269"/>
      <c r="K674" s="269"/>
    </row>
    <row r="675" spans="1:11" ht="13.1">
      <c r="A675" s="260"/>
      <c r="B675" s="260"/>
      <c r="C675" s="260"/>
      <c r="D675" s="1856"/>
      <c r="E675" s="1856"/>
      <c r="F675" s="1856"/>
      <c r="G675" s="57"/>
      <c r="H675" s="269"/>
      <c r="I675" s="269"/>
      <c r="J675" s="269"/>
      <c r="K675" s="269"/>
    </row>
    <row r="676" spans="1:11" ht="13.1">
      <c r="A676" s="260"/>
      <c r="B676" s="260"/>
      <c r="C676" s="260"/>
      <c r="D676" s="1856"/>
      <c r="E676" s="1856"/>
      <c r="F676" s="1856"/>
      <c r="G676" s="57"/>
      <c r="H676" s="269"/>
      <c r="I676" s="269"/>
      <c r="J676" s="269"/>
      <c r="K676" s="269"/>
    </row>
    <row r="677" spans="1:11" ht="13.1">
      <c r="A677" s="260"/>
      <c r="B677" s="260"/>
      <c r="C677" s="260"/>
      <c r="D677" s="1856"/>
      <c r="E677" s="1856"/>
      <c r="F677" s="1856"/>
      <c r="G677" s="57"/>
      <c r="H677" s="269"/>
      <c r="I677" s="269"/>
      <c r="J677" s="269"/>
      <c r="K677" s="269"/>
    </row>
    <row r="678" spans="1:11" s="39" customFormat="1" ht="13.1">
      <c r="A678" s="487"/>
      <c r="B678" s="487"/>
      <c r="C678" s="487"/>
      <c r="D678" s="1856"/>
      <c r="E678" s="1856"/>
      <c r="F678" s="1856"/>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56" t="s">
        <v>1213</v>
      </c>
      <c r="E680" s="1856"/>
      <c r="F680" s="1856"/>
      <c r="G680" s="57"/>
      <c r="H680" s="269"/>
      <c r="I680" s="269"/>
      <c r="J680" s="269"/>
      <c r="K680" s="269"/>
    </row>
    <row r="681" spans="1:11" ht="13.1">
      <c r="A681" s="260"/>
      <c r="B681" s="260"/>
      <c r="C681" s="260"/>
      <c r="D681" s="1856"/>
      <c r="E681" s="1856"/>
      <c r="F681" s="1856"/>
      <c r="G681" s="57"/>
      <c r="H681" s="269"/>
      <c r="I681" s="269"/>
      <c r="J681" s="269"/>
      <c r="K681" s="269"/>
    </row>
    <row r="682" spans="1:11" ht="13.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ht="13.1">
      <c r="A685" s="260"/>
      <c r="B685" s="260"/>
      <c r="C685" s="260"/>
      <c r="D685" s="1856"/>
      <c r="E685" s="1856"/>
      <c r="F685" s="1856"/>
      <c r="G685" s="57"/>
      <c r="H685" s="269"/>
      <c r="I685" s="269"/>
      <c r="J685" s="269"/>
      <c r="K685" s="269"/>
    </row>
    <row r="686" spans="1:11" ht="13.1">
      <c r="A686" s="260"/>
      <c r="B686" s="260"/>
      <c r="C686" s="260"/>
      <c r="D686" s="1856"/>
      <c r="E686" s="1856"/>
      <c r="F686" s="1856"/>
      <c r="G686" s="57"/>
      <c r="H686" s="269"/>
      <c r="I686" s="269"/>
      <c r="J686" s="269"/>
      <c r="K686" s="269"/>
    </row>
    <row r="687" spans="1:11" ht="13.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ht="13.1">
      <c r="A689" s="260"/>
      <c r="B689" s="260"/>
      <c r="C689" s="260"/>
      <c r="D689" s="1856"/>
      <c r="E689" s="1856"/>
      <c r="F689" s="1856"/>
      <c r="G689" s="57"/>
      <c r="H689" s="269"/>
      <c r="I689" s="269"/>
      <c r="J689" s="269"/>
      <c r="K689" s="269"/>
    </row>
    <row r="690" spans="1:11" ht="13.1">
      <c r="A690" s="260"/>
      <c r="B690" s="260"/>
      <c r="C690" s="260"/>
      <c r="D690" s="1856"/>
      <c r="E690" s="1856"/>
      <c r="F690" s="1856"/>
      <c r="G690" s="57"/>
      <c r="H690" s="269"/>
      <c r="I690" s="269"/>
      <c r="J690" s="269"/>
      <c r="K690" s="269"/>
    </row>
    <row r="691" spans="1:11" ht="13.1">
      <c r="A691" s="260"/>
      <c r="B691" s="260"/>
      <c r="C691" s="260"/>
      <c r="D691" s="1856"/>
      <c r="E691" s="1856"/>
      <c r="F691" s="1856"/>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56" t="s">
        <v>1223</v>
      </c>
      <c r="E693" s="1856"/>
      <c r="F693" s="1856"/>
      <c r="G693" s="57"/>
      <c r="H693" s="269"/>
      <c r="I693" s="269"/>
      <c r="J693" s="269"/>
      <c r="K693" s="269"/>
    </row>
    <row r="694" spans="1:11" ht="13.1">
      <c r="A694" s="260"/>
      <c r="B694" s="260"/>
      <c r="C694" s="260"/>
      <c r="D694" s="1856"/>
      <c r="E694" s="1856"/>
      <c r="F694" s="1856"/>
      <c r="G694" s="57"/>
      <c r="H694" s="269"/>
      <c r="I694" s="269"/>
      <c r="J694" s="269"/>
      <c r="K694" s="269"/>
    </row>
    <row r="695" spans="1:11" ht="13.1">
      <c r="A695" s="260"/>
      <c r="B695" s="260"/>
      <c r="C695" s="260"/>
      <c r="D695" s="1856"/>
      <c r="E695" s="1856"/>
      <c r="F695" s="1856"/>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56" t="s">
        <v>1220</v>
      </c>
      <c r="E697" s="1856"/>
      <c r="F697" s="1856"/>
      <c r="G697" s="57"/>
      <c r="H697" s="269"/>
      <c r="I697" s="269"/>
      <c r="J697" s="269"/>
      <c r="K697" s="269"/>
    </row>
    <row r="698" spans="1:11" s="680" customFormat="1" ht="13.1">
      <c r="A698" s="260"/>
      <c r="B698" s="260"/>
      <c r="C698" s="260"/>
      <c r="D698" s="1856"/>
      <c r="E698" s="1856"/>
      <c r="F698" s="1856"/>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56" t="s">
        <v>1221</v>
      </c>
      <c r="E700" s="1856"/>
      <c r="F700" s="1856"/>
      <c r="G700" s="57"/>
      <c r="H700" s="269"/>
      <c r="I700" s="269"/>
      <c r="J700" s="269"/>
      <c r="K700" s="269"/>
    </row>
    <row r="701" spans="1:11" s="680" customFormat="1" ht="13.1">
      <c r="A701" s="260"/>
      <c r="B701" s="260"/>
      <c r="C701" s="260"/>
      <c r="D701" s="1856"/>
      <c r="E701" s="1856"/>
      <c r="F701" s="1856"/>
      <c r="G701" s="57"/>
      <c r="H701" s="269"/>
      <c r="I701" s="269"/>
      <c r="J701" s="269"/>
      <c r="K701" s="269"/>
    </row>
    <row r="702" spans="1:11" s="680" customFormat="1" ht="13.1">
      <c r="A702" s="260"/>
      <c r="B702" s="260"/>
      <c r="C702" s="260"/>
      <c r="D702" s="1856"/>
      <c r="E702" s="1856"/>
      <c r="F702" s="1856"/>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56" t="s">
        <v>1214</v>
      </c>
      <c r="E704" s="1856"/>
      <c r="F704" s="1856"/>
      <c r="G704" s="57"/>
      <c r="H704" s="269"/>
      <c r="I704" s="269"/>
      <c r="J704" s="269"/>
      <c r="K704" s="269"/>
    </row>
    <row r="705" spans="1:11" ht="13.1">
      <c r="A705" s="260"/>
      <c r="B705" s="260"/>
      <c r="C705" s="260"/>
      <c r="D705" s="1856"/>
      <c r="E705" s="1856"/>
      <c r="F705" s="1856"/>
      <c r="G705" s="57"/>
      <c r="H705" s="269"/>
      <c r="I705" s="269"/>
      <c r="J705" s="269"/>
      <c r="K705" s="269"/>
    </row>
    <row r="706" spans="1:11" ht="13.1">
      <c r="A706" s="260"/>
      <c r="B706" s="260"/>
      <c r="C706" s="260"/>
      <c r="D706" s="1856"/>
      <c r="E706" s="1856"/>
      <c r="F706" s="1856"/>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56" t="s">
        <v>1215</v>
      </c>
      <c r="E708" s="1856"/>
      <c r="F708" s="1856"/>
      <c r="G708" s="57"/>
      <c r="H708" s="269"/>
      <c r="I708" s="269"/>
      <c r="J708" s="269"/>
      <c r="K708" s="269"/>
    </row>
    <row r="709" spans="1:11" ht="13.1">
      <c r="A709" s="260"/>
      <c r="B709" s="260"/>
      <c r="C709" s="260"/>
      <c r="D709" s="1856"/>
      <c r="E709" s="1856"/>
      <c r="F709" s="1856"/>
      <c r="G709" s="57"/>
      <c r="H709" s="269"/>
      <c r="I709" s="269"/>
      <c r="J709" s="269"/>
      <c r="K709" s="269"/>
    </row>
    <row r="710" spans="1:11" ht="13.1">
      <c r="A710" s="260"/>
      <c r="B710" s="260"/>
      <c r="C710" s="260"/>
      <c r="D710" s="1856"/>
      <c r="E710" s="1856"/>
      <c r="F710" s="1856"/>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21" t="s">
        <v>1216</v>
      </c>
      <c r="E712" s="1821"/>
      <c r="F712" s="1821"/>
      <c r="G712" s="57"/>
      <c r="H712" s="269"/>
      <c r="I712" s="269"/>
      <c r="J712" s="269"/>
      <c r="K712" s="269"/>
    </row>
    <row r="713" spans="1:11" ht="13.1">
      <c r="A713" s="260"/>
      <c r="B713" s="260"/>
      <c r="C713" s="260"/>
      <c r="D713" s="1821"/>
      <c r="E713" s="1821"/>
      <c r="F713" s="1821"/>
      <c r="G713" s="57"/>
      <c r="H713" s="269"/>
      <c r="I713" s="269"/>
      <c r="J713" s="269"/>
      <c r="K713" s="269"/>
    </row>
    <row r="714" spans="1:11" ht="13.1">
      <c r="A714" s="260"/>
      <c r="B714" s="260"/>
      <c r="C714" s="260"/>
      <c r="D714" s="1821"/>
      <c r="E714" s="1821"/>
      <c r="F714" s="1821"/>
      <c r="G714" s="57"/>
      <c r="H714" s="269"/>
      <c r="I714" s="269"/>
      <c r="J714" s="269"/>
      <c r="K714" s="269"/>
    </row>
    <row r="715" spans="1:11" ht="13.1">
      <c r="A715" s="260"/>
      <c r="B715" s="260"/>
      <c r="C715" s="260"/>
      <c r="D715" s="1821"/>
      <c r="E715" s="1821"/>
      <c r="F715" s="1821"/>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56" t="s">
        <v>1349</v>
      </c>
      <c r="E717" s="1856"/>
      <c r="F717" s="1856"/>
      <c r="G717" s="57"/>
      <c r="H717" s="269"/>
      <c r="I717" s="269"/>
      <c r="J717" s="269"/>
      <c r="K717" s="269"/>
    </row>
    <row r="718" spans="1:11" ht="13.1">
      <c r="A718" s="260"/>
      <c r="B718" s="260"/>
      <c r="C718" s="260"/>
      <c r="D718" s="1856"/>
      <c r="E718" s="1856"/>
      <c r="F718" s="1856"/>
      <c r="G718" s="57"/>
      <c r="H718" s="269"/>
      <c r="I718" s="269"/>
      <c r="J718" s="269"/>
      <c r="K718" s="269"/>
    </row>
    <row r="719" spans="1:11" ht="13.1">
      <c r="A719" s="260"/>
      <c r="B719" s="260"/>
      <c r="C719" s="260"/>
      <c r="D719" s="1856"/>
      <c r="E719" s="1856"/>
      <c r="F719" s="1856"/>
      <c r="G719" s="57"/>
      <c r="H719" s="269"/>
      <c r="I719" s="269"/>
      <c r="J719" s="269"/>
      <c r="K719" s="269"/>
    </row>
    <row r="720" spans="1:11" ht="13.1">
      <c r="A720" s="260"/>
      <c r="B720" s="260"/>
      <c r="C720" s="260"/>
      <c r="D720" s="1856"/>
      <c r="E720" s="1856"/>
      <c r="F720" s="1856"/>
      <c r="G720" s="57"/>
      <c r="H720" s="269"/>
      <c r="I720" s="269"/>
      <c r="J720" s="269"/>
      <c r="K720" s="269"/>
    </row>
    <row r="721" spans="1:11" ht="13.1">
      <c r="A721" s="260"/>
      <c r="B721" s="260"/>
      <c r="C721" s="260"/>
      <c r="D721" s="1856"/>
      <c r="E721" s="1856"/>
      <c r="F721" s="1856"/>
      <c r="G721" s="57"/>
      <c r="H721" s="269"/>
      <c r="I721" s="269"/>
      <c r="J721" s="269"/>
      <c r="K721" s="269"/>
    </row>
    <row r="722" spans="1:11" ht="13.1">
      <c r="A722" s="260"/>
      <c r="B722" s="260"/>
      <c r="C722" s="260"/>
      <c r="D722" s="1856"/>
      <c r="E722" s="1856"/>
      <c r="F722" s="1856"/>
      <c r="G722" s="57"/>
      <c r="H722" s="269"/>
      <c r="I722" s="269"/>
      <c r="J722" s="269"/>
      <c r="K722" s="269"/>
    </row>
    <row r="723" spans="1:11" ht="13.1">
      <c r="A723" s="260"/>
      <c r="B723" s="260"/>
      <c r="C723" s="260"/>
      <c r="D723" s="1856"/>
      <c r="E723" s="1856"/>
      <c r="F723" s="1856"/>
      <c r="G723" s="57"/>
      <c r="H723" s="269"/>
      <c r="I723" s="269"/>
      <c r="J723" s="269"/>
      <c r="K723" s="269"/>
    </row>
    <row r="724" spans="1:11" ht="13.1">
      <c r="A724" s="260"/>
      <c r="B724" s="260"/>
      <c r="C724" s="260"/>
      <c r="D724" s="1889" t="s">
        <v>1217</v>
      </c>
      <c r="E724" s="1889"/>
      <c r="F724" s="1889"/>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91" t="s">
        <v>1174</v>
      </c>
      <c r="B726" s="1891"/>
      <c r="C726" s="1891"/>
      <c r="D726" s="1891"/>
      <c r="E726" s="1891"/>
      <c r="F726" s="1891"/>
      <c r="G726" s="1891"/>
      <c r="H726" s="269"/>
      <c r="I726" s="269"/>
      <c r="J726" s="269"/>
      <c r="K726" s="269"/>
    </row>
    <row r="727" spans="1:11" ht="13.1">
      <c r="A727" s="260"/>
      <c r="B727" s="260"/>
      <c r="C727" s="260"/>
      <c r="D727" s="263"/>
      <c r="G727" s="271"/>
      <c r="H727" s="269"/>
      <c r="I727" s="269"/>
      <c r="J727" s="269"/>
      <c r="K727" s="269"/>
    </row>
    <row r="728" spans="1:11" ht="13.1" customHeight="1">
      <c r="C728" s="260"/>
      <c r="D728" s="1870" t="s">
        <v>1190</v>
      </c>
      <c r="E728" s="1870"/>
      <c r="F728" s="1870"/>
      <c r="G728" s="271"/>
      <c r="H728" s="269"/>
      <c r="I728" s="269"/>
      <c r="J728" s="269"/>
      <c r="K728" s="269"/>
    </row>
    <row r="729" spans="1:11" ht="13.1">
      <c r="A729" s="260"/>
      <c r="B729" s="260"/>
      <c r="C729" s="260"/>
      <c r="D729" s="1887" t="s">
        <v>1191</v>
      </c>
      <c r="E729" s="1887"/>
      <c r="F729" s="1887"/>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21" t="s">
        <v>1192</v>
      </c>
      <c r="E731" s="1821"/>
      <c r="F731" s="1821"/>
      <c r="G731" s="271"/>
      <c r="H731" s="272"/>
      <c r="I731" s="272"/>
      <c r="J731" s="272"/>
      <c r="K731" s="272"/>
    </row>
    <row r="732" spans="1:11" s="39" customFormat="1" ht="10.4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5"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22" t="s">
        <v>1193</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ht="13.1">
      <c r="A743" s="261"/>
      <c r="B743" s="677" t="s">
        <v>316</v>
      </c>
      <c r="C743" s="408"/>
      <c r="D743" s="1888" t="s">
        <v>1194</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ht="13.1">
      <c r="A747" s="261"/>
      <c r="B747" s="677" t="s">
        <v>316</v>
      </c>
      <c r="C747" s="273"/>
      <c r="D747" s="1822" t="s">
        <v>1195</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2" t="s">
        <v>1196</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93" t="s">
        <v>1197</v>
      </c>
      <c r="B754" s="1893"/>
      <c r="C754" s="1893"/>
      <c r="D754" s="1893"/>
      <c r="E754" s="1893"/>
      <c r="F754" s="1893"/>
      <c r="G754" s="1893"/>
    </row>
    <row r="755" spans="1:11" ht="13.1">
      <c r="A755" s="260"/>
      <c r="B755" s="260"/>
      <c r="C755" s="260"/>
      <c r="D755" s="276"/>
      <c r="F755" s="147"/>
      <c r="G755" s="271"/>
    </row>
    <row r="756" spans="1:11" ht="13.1">
      <c r="A756" s="273"/>
      <c r="B756" s="273"/>
      <c r="C756" s="442"/>
      <c r="D756" s="1894" t="s">
        <v>1181</v>
      </c>
      <c r="E756" s="1894"/>
      <c r="F756" s="1894"/>
      <c r="G756" s="271"/>
    </row>
    <row r="757" spans="1:11">
      <c r="A757" s="501"/>
      <c r="B757" s="501"/>
      <c r="C757" s="500"/>
      <c r="D757" s="1884" t="s">
        <v>1198</v>
      </c>
      <c r="E757" s="1884"/>
      <c r="F757" s="1884"/>
      <c r="G757" s="271"/>
    </row>
    <row r="758" spans="1:11">
      <c r="A758" s="273"/>
      <c r="B758" s="273"/>
      <c r="C758" s="442"/>
      <c r="D758" s="691"/>
      <c r="E758" s="691"/>
      <c r="F758" s="691"/>
      <c r="G758" s="271"/>
    </row>
    <row r="759" spans="1:11" ht="13.1">
      <c r="A759" s="261"/>
      <c r="B759" s="677" t="s">
        <v>316</v>
      </c>
      <c r="C759" s="442"/>
      <c r="D759" s="1885" t="s">
        <v>1066</v>
      </c>
      <c r="E759" s="1885"/>
      <c r="F759" s="1885"/>
      <c r="G759" s="271"/>
    </row>
    <row r="760" spans="1:11" ht="13.1">
      <c r="A760" s="273"/>
      <c r="B760" s="273"/>
      <c r="C760" s="442"/>
      <c r="D760" s="690"/>
      <c r="E760" s="1886" t="s">
        <v>1182</v>
      </c>
      <c r="F760" s="1886"/>
      <c r="G760" s="271"/>
    </row>
    <row r="761" spans="1:11" ht="13.1">
      <c r="A761" s="267"/>
      <c r="B761" s="267"/>
      <c r="C761" s="267"/>
      <c r="D761" s="135"/>
      <c r="F761" s="57"/>
      <c r="G761" s="271"/>
    </row>
    <row r="762" spans="1:11" ht="13.1">
      <c r="A762" s="1890" t="s">
        <v>471</v>
      </c>
      <c r="B762" s="1890"/>
      <c r="C762" s="1890"/>
      <c r="D762" s="1890"/>
      <c r="E762" s="1890"/>
      <c r="F762" s="1890"/>
      <c r="G762" s="1890"/>
    </row>
    <row r="763" spans="1:11" ht="13.1">
      <c r="A763" s="255"/>
      <c r="B763" s="671"/>
      <c r="C763" s="266"/>
      <c r="D763" s="271"/>
      <c r="E763" s="271"/>
      <c r="F763" s="271"/>
      <c r="G763" s="271"/>
    </row>
    <row r="764" spans="1:11">
      <c r="A764" s="135"/>
      <c r="B764" s="1892" t="s">
        <v>1065</v>
      </c>
      <c r="C764" s="1892"/>
      <c r="D764" s="1892"/>
      <c r="E764" s="1892"/>
      <c r="F764" s="1892"/>
      <c r="G764" s="271"/>
    </row>
    <row r="765" spans="1:11" ht="13.1">
      <c r="A765" s="23"/>
      <c r="B765" s="673"/>
      <c r="G765" s="271"/>
    </row>
    <row r="766" spans="1:11" ht="13.1">
      <c r="A766" s="1890" t="s">
        <v>472</v>
      </c>
      <c r="B766" s="1890"/>
      <c r="C766" s="1890"/>
      <c r="D766" s="1890"/>
      <c r="E766" s="1890"/>
      <c r="F766" s="1890"/>
      <c r="G766" s="1890"/>
    </row>
    <row r="767" spans="1:11" ht="13.1">
      <c r="A767" s="255"/>
      <c r="B767" s="671"/>
      <c r="C767" s="255"/>
      <c r="D767" s="263"/>
      <c r="G767" s="271"/>
    </row>
    <row r="768" spans="1:11">
      <c r="A768" s="135"/>
      <c r="B768" s="1836" t="s">
        <v>470</v>
      </c>
      <c r="C768" s="1836"/>
      <c r="D768" s="1836"/>
      <c r="E768" s="1836"/>
      <c r="F768" s="1836"/>
      <c r="G768" s="271"/>
    </row>
    <row r="769" spans="1:7" ht="13.1">
      <c r="A769" s="261"/>
      <c r="B769" s="261"/>
      <c r="D769" s="135"/>
      <c r="E769" s="135"/>
      <c r="F769" s="271"/>
      <c r="G769" s="271"/>
    </row>
    <row r="770" spans="1:7" ht="13.1">
      <c r="A770" s="1890" t="s">
        <v>473</v>
      </c>
      <c r="B770" s="1890"/>
      <c r="C770" s="1890"/>
      <c r="D770" s="1890"/>
      <c r="E770" s="1890"/>
      <c r="F770" s="1890"/>
      <c r="G770" s="1890"/>
    </row>
    <row r="771" spans="1:7" ht="13.1">
      <c r="C771" s="260"/>
      <c r="D771" s="259"/>
      <c r="E771" s="135"/>
      <c r="F771" s="271"/>
      <c r="G771" s="271"/>
    </row>
    <row r="772" spans="1:7">
      <c r="A772" s="135"/>
      <c r="B772" s="1836" t="s">
        <v>470</v>
      </c>
      <c r="C772" s="1836"/>
      <c r="D772" s="1836"/>
      <c r="E772" s="1836"/>
      <c r="F772" s="1836"/>
      <c r="G772" s="271"/>
    </row>
    <row r="773" spans="1:7">
      <c r="A773" s="135"/>
      <c r="B773" s="135"/>
      <c r="C773" s="266"/>
      <c r="D773" s="271"/>
      <c r="E773" s="271"/>
      <c r="F773" s="271"/>
      <c r="G773" s="271"/>
    </row>
    <row r="774" spans="1:7" ht="13.1">
      <c r="A774" s="1890" t="s">
        <v>474</v>
      </c>
      <c r="B774" s="1890"/>
      <c r="C774" s="1890"/>
      <c r="D774" s="1890"/>
      <c r="E774" s="1890"/>
      <c r="F774" s="1890"/>
      <c r="G774" s="1890"/>
    </row>
    <row r="775" spans="1:7">
      <c r="A775" s="135"/>
      <c r="B775" s="135"/>
    </row>
    <row r="776" spans="1:7">
      <c r="A776" s="135"/>
      <c r="B776" s="1836" t="s">
        <v>470</v>
      </c>
      <c r="C776" s="1836"/>
      <c r="D776" s="1836"/>
      <c r="E776" s="1836"/>
      <c r="F776" s="1836"/>
    </row>
    <row r="777" spans="1:7" ht="13.1">
      <c r="A777" s="266"/>
      <c r="B777" s="266"/>
      <c r="C777" s="266"/>
      <c r="D777" s="258"/>
      <c r="F777" s="271"/>
    </row>
    <row r="778" spans="1:7" ht="13.1">
      <c r="A778" s="1890" t="s">
        <v>475</v>
      </c>
      <c r="B778" s="1890"/>
      <c r="C778" s="1890"/>
      <c r="D778" s="1890"/>
      <c r="E778" s="1890"/>
      <c r="F778" s="1890"/>
      <c r="G778" s="1890"/>
    </row>
    <row r="779" spans="1:7">
      <c r="A779" s="135"/>
      <c r="B779" s="135"/>
    </row>
    <row r="780" spans="1:7">
      <c r="A780" s="135"/>
      <c r="B780" s="1836" t="s">
        <v>470</v>
      </c>
      <c r="C780" s="1836"/>
      <c r="D780" s="1836"/>
      <c r="E780" s="1836"/>
      <c r="F780" s="1836"/>
    </row>
    <row r="781" spans="1:7" ht="13.1">
      <c r="A781" s="266"/>
      <c r="B781" s="266"/>
      <c r="C781" s="266"/>
      <c r="D781" s="258"/>
      <c r="F781" s="271"/>
    </row>
    <row r="782" spans="1:7" ht="13.1">
      <c r="A782" s="1890" t="s">
        <v>476</v>
      </c>
      <c r="B782" s="1890"/>
      <c r="C782" s="1890"/>
      <c r="D782" s="1890"/>
      <c r="E782" s="1890"/>
      <c r="F782" s="1890"/>
      <c r="G782" s="1890"/>
    </row>
    <row r="783" spans="1:7">
      <c r="A783" s="135"/>
      <c r="B783" s="135"/>
    </row>
    <row r="784" spans="1:7">
      <c r="A784" s="135"/>
      <c r="B784" s="1836" t="s">
        <v>470</v>
      </c>
      <c r="C784" s="1836"/>
      <c r="D784" s="1836"/>
      <c r="E784" s="1836"/>
      <c r="F784" s="1836"/>
    </row>
    <row r="785" spans="1:7" ht="13.1">
      <c r="A785" s="265"/>
      <c r="B785" s="265"/>
      <c r="C785" s="265"/>
      <c r="D785" s="277"/>
      <c r="E785" s="57"/>
      <c r="F785" s="57"/>
      <c r="G785" s="57"/>
    </row>
    <row r="786" spans="1:7" ht="13.1">
      <c r="A786" s="1890" t="s">
        <v>192</v>
      </c>
      <c r="B786" s="1890"/>
      <c r="C786" s="1890"/>
      <c r="D786" s="1890"/>
      <c r="E786" s="1890"/>
      <c r="F786" s="1890"/>
      <c r="G786" s="1890"/>
    </row>
    <row r="787" spans="1:7">
      <c r="A787" s="135"/>
      <c r="B787" s="135"/>
    </row>
    <row r="788" spans="1:7">
      <c r="A788" s="135"/>
      <c r="B788" s="1836" t="s">
        <v>470</v>
      </c>
      <c r="C788" s="1836"/>
      <c r="D788" s="1836"/>
      <c r="E788" s="1836"/>
      <c r="F788" s="1836"/>
    </row>
    <row r="789" spans="1:7" ht="13.1">
      <c r="A789" s="135"/>
      <c r="B789" s="135"/>
      <c r="D789" s="258"/>
    </row>
    <row r="790" spans="1:7" ht="13.1">
      <c r="A790" s="1890" t="s">
        <v>938</v>
      </c>
      <c r="B790" s="1890"/>
      <c r="C790" s="1890"/>
      <c r="D790" s="1890"/>
      <c r="E790" s="1890"/>
      <c r="F790" s="1890"/>
      <c r="G790" s="1890"/>
    </row>
    <row r="791" spans="1:7">
      <c r="A791" s="135"/>
      <c r="B791" s="135"/>
    </row>
    <row r="792" spans="1:7">
      <c r="A792" s="135"/>
      <c r="B792" s="1836" t="s">
        <v>470</v>
      </c>
      <c r="C792" s="1836"/>
      <c r="D792" s="1836"/>
      <c r="E792" s="1836"/>
      <c r="F792" s="1836"/>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2315</v>
      </c>
      <c r="B2" s="1900"/>
      <c r="C2" s="1900"/>
      <c r="D2" s="1900"/>
      <c r="E2" s="1900"/>
      <c r="F2" s="1900"/>
      <c r="G2" s="1900"/>
      <c r="H2" s="1900"/>
      <c r="I2" s="1900"/>
      <c r="J2" s="1900"/>
    </row>
    <row r="3" spans="1:10" ht="15.65">
      <c r="A3" s="1904" t="s">
        <v>1495</v>
      </c>
      <c r="B3" s="1905"/>
      <c r="C3" s="1905"/>
      <c r="D3" s="1905"/>
      <c r="E3" s="1905"/>
      <c r="F3" s="1905"/>
      <c r="G3" s="1905"/>
      <c r="H3" s="1905"/>
      <c r="I3" s="1905"/>
      <c r="J3" s="1905"/>
    </row>
    <row r="4" spans="1:10" ht="12.6"/>
    <row r="5" spans="1:10" ht="12.75" customHeight="1">
      <c r="A5" s="1901" t="s">
        <v>2318</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6"/>
    <row r="11" spans="1:10" ht="12.75" customHeight="1">
      <c r="A11" s="1906" t="s">
        <v>2321</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2320</v>
      </c>
      <c r="B18" s="770"/>
      <c r="C18" s="770"/>
      <c r="D18" s="770"/>
      <c r="E18" s="770"/>
      <c r="F18" s="770"/>
      <c r="G18" s="770"/>
      <c r="H18" s="770"/>
      <c r="I18" s="770"/>
      <c r="J18" s="770"/>
    </row>
    <row r="19" spans="1:10" ht="12.6">
      <c r="A19" s="772" t="s">
        <v>256</v>
      </c>
      <c r="B19" s="772"/>
      <c r="C19" s="772"/>
      <c r="D19" s="772"/>
      <c r="E19" s="772"/>
      <c r="F19" s="772"/>
      <c r="G19" s="772"/>
      <c r="H19" s="772"/>
      <c r="I19" s="772"/>
      <c r="J19" s="772"/>
    </row>
    <row r="20" spans="1:10" ht="12.6">
      <c r="A20" s="1908" t="s">
        <v>1387</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1388</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1387</v>
      </c>
    </row>
    <row r="62" spans="1:10" ht="12.6"/>
    <row r="63" spans="1:10" ht="12.6"/>
    <row r="64" spans="1:10" ht="12.6"/>
    <row r="65" spans="1:9" ht="12.6"/>
    <row r="66" spans="1:9" ht="12.6"/>
    <row r="67" spans="1:9" ht="12.6"/>
    <row r="68" spans="1:9" ht="12.6"/>
    <row r="69" spans="1:9" ht="12.6"/>
    <row r="70" spans="1:9" ht="12.6"/>
    <row r="71" spans="1:9" ht="12.6"/>
    <row r="72" spans="1:9" ht="13.1">
      <c r="A72" s="1903" t="s">
        <v>2316</v>
      </c>
      <c r="B72" s="1903"/>
      <c r="C72" s="1903"/>
      <c r="D72" s="1903"/>
      <c r="E72" s="1903"/>
      <c r="F72" s="1903"/>
      <c r="G72" s="1903"/>
      <c r="H72" s="1903"/>
      <c r="I72" s="1903"/>
    </row>
    <row r="73" spans="1:9" ht="12.6">
      <c r="A73" s="1827" t="s">
        <v>1090</v>
      </c>
      <c r="B73" s="1827"/>
      <c r="C73" s="1827"/>
      <c r="D73" s="1827"/>
      <c r="E73" s="1827"/>
    </row>
    <row r="74" spans="1:9" ht="12.6">
      <c r="A74" s="1827" t="s">
        <v>1389</v>
      </c>
      <c r="B74" s="1827"/>
      <c r="C74" s="1827"/>
      <c r="D74" s="1827"/>
      <c r="E74" s="1827"/>
    </row>
    <row r="75" spans="1:9" ht="12.6">
      <c r="A75" s="1827" t="s">
        <v>2317</v>
      </c>
      <c r="B75" s="1827"/>
      <c r="C75" s="1827"/>
      <c r="D75" s="1827"/>
      <c r="E75" s="182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5" zoomScaleNormal="115" zoomScaleSheetLayoutView="100" workbookViewId="0">
      <selection activeCell="A2" sqref="A2:I2"/>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60" t="s">
        <v>2483</v>
      </c>
      <c r="B2" s="1960"/>
      <c r="C2" s="1960"/>
      <c r="D2" s="1960"/>
      <c r="E2" s="1960"/>
      <c r="F2" s="1960"/>
      <c r="G2" s="1960"/>
      <c r="H2" s="1960"/>
      <c r="I2" s="1960"/>
    </row>
    <row r="3" spans="1:13">
      <c r="A3" s="1961" t="s">
        <v>2170</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1251</v>
      </c>
      <c r="B6" s="1947"/>
      <c r="C6" s="1948"/>
      <c r="D6" s="1948"/>
      <c r="E6" s="1948"/>
      <c r="F6" s="1948"/>
      <c r="G6" s="1948"/>
      <c r="I6" s="1732" t="s">
        <v>2330</v>
      </c>
    </row>
    <row r="7" spans="1:13" s="789" customFormat="1">
      <c r="A7" s="1947" t="s">
        <v>1252</v>
      </c>
      <c r="B7" s="1947"/>
      <c r="C7" s="1948"/>
      <c r="D7" s="1948"/>
      <c r="E7" s="1948"/>
      <c r="F7" s="1948"/>
      <c r="G7" s="1948"/>
      <c r="I7" s="1732" t="s">
        <v>2331</v>
      </c>
    </row>
    <row r="8" spans="1:13">
      <c r="A8" s="790"/>
      <c r="B8" s="790"/>
      <c r="C8" s="791"/>
      <c r="D8" s="791"/>
      <c r="E8" s="791"/>
      <c r="F8" s="791"/>
    </row>
    <row r="9" spans="1:13">
      <c r="A9" s="1877" t="s">
        <v>1254</v>
      </c>
      <c r="B9" s="1877"/>
      <c r="C9" s="1877"/>
      <c r="D9" s="1877"/>
      <c r="E9" s="1877"/>
      <c r="F9" s="1877"/>
      <c r="G9" s="1877"/>
      <c r="H9" s="1749"/>
      <c r="I9" s="1750"/>
    </row>
    <row r="10" spans="1:13">
      <c r="A10" s="791"/>
      <c r="B10" s="791"/>
      <c r="E10" s="792"/>
    </row>
    <row r="11" spans="1:13" ht="13.75" customHeight="1">
      <c r="C11" s="791"/>
      <c r="D11" s="1949" t="s">
        <v>1253</v>
      </c>
      <c r="E11" s="1949"/>
      <c r="F11" s="1949"/>
    </row>
    <row r="12" spans="1:13">
      <c r="C12" s="791"/>
      <c r="D12" s="1949"/>
      <c r="E12" s="1949"/>
      <c r="F12" s="1949"/>
    </row>
    <row r="13" spans="1:13">
      <c r="A13" s="793"/>
      <c r="B13" s="793"/>
      <c r="C13" s="793"/>
      <c r="D13" s="1861" t="s">
        <v>1236</v>
      </c>
      <c r="E13" s="1861"/>
      <c r="F13" s="1861"/>
      <c r="M13" s="1631"/>
    </row>
    <row r="14" spans="1:13">
      <c r="A14" s="793"/>
      <c r="B14" s="793"/>
      <c r="C14" s="793"/>
      <c r="D14" s="794"/>
      <c r="L14" s="1804"/>
    </row>
    <row r="15" spans="1:13">
      <c r="A15" s="795"/>
      <c r="B15" s="796" t="s">
        <v>2672</v>
      </c>
      <c r="C15" s="797"/>
      <c r="D15" s="1859" t="s">
        <v>2514</v>
      </c>
      <c r="E15" s="1859"/>
      <c r="F15" s="1859"/>
      <c r="I15" s="1674" t="s">
        <v>2332</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2511</v>
      </c>
      <c r="F18" s="1803"/>
      <c r="G18" s="1671"/>
      <c r="I18" s="1674"/>
    </row>
    <row r="19" spans="1:9">
      <c r="A19" s="793"/>
      <c r="B19" s="793"/>
      <c r="C19" s="793"/>
    </row>
    <row r="20" spans="1:9">
      <c r="A20" s="795"/>
      <c r="B20" s="796" t="s">
        <v>2672</v>
      </c>
      <c r="D20" s="1859" t="s">
        <v>2515</v>
      </c>
      <c r="E20" s="1859"/>
      <c r="F20" s="1859"/>
      <c r="I20" s="1674" t="s">
        <v>2333</v>
      </c>
    </row>
    <row r="21" spans="1:9" s="1672" customFormat="1">
      <c r="A21" s="795"/>
      <c r="B21" s="786"/>
      <c r="C21" s="786"/>
      <c r="D21" s="1859"/>
      <c r="E21" s="1859"/>
      <c r="F21" s="1859"/>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2602</v>
      </c>
      <c r="D24" s="1859" t="s">
        <v>1239</v>
      </c>
      <c r="E24" s="1859"/>
      <c r="F24" s="1859"/>
      <c r="I24" s="1674" t="s">
        <v>2333</v>
      </c>
    </row>
    <row r="25" spans="1:9">
      <c r="A25" s="795"/>
      <c r="B25" s="795"/>
      <c r="D25" s="1859"/>
      <c r="E25" s="1859"/>
      <c r="F25" s="1859"/>
    </row>
    <row r="26" spans="1:9"/>
    <row r="27" spans="1:9">
      <c r="A27" s="795"/>
      <c r="B27" s="796" t="s">
        <v>2672</v>
      </c>
      <c r="D27" s="1943" t="s">
        <v>2512</v>
      </c>
      <c r="E27" s="1943"/>
      <c r="F27" s="1943"/>
      <c r="I27" s="1674" t="s">
        <v>2336</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2672</v>
      </c>
      <c r="C33" s="799"/>
      <c r="D33" s="1860" t="s">
        <v>1241</v>
      </c>
      <c r="E33" s="1860"/>
      <c r="F33" s="1860"/>
      <c r="G33" s="800"/>
      <c r="I33" s="1733" t="s">
        <v>2332</v>
      </c>
    </row>
    <row r="34" spans="1:9" s="789" customFormat="1">
      <c r="A34" s="799"/>
      <c r="B34" s="799"/>
      <c r="C34" s="799"/>
      <c r="D34" s="1860"/>
      <c r="E34" s="1860"/>
      <c r="F34" s="1860"/>
      <c r="G34" s="800"/>
      <c r="I34" s="1733"/>
    </row>
    <row r="35" spans="1:9">
      <c r="A35" s="795"/>
      <c r="B35" s="795"/>
      <c r="D35" s="801"/>
    </row>
    <row r="36" spans="1:9" ht="14.5" customHeight="1">
      <c r="A36" s="795"/>
      <c r="B36" s="796" t="s">
        <v>2602</v>
      </c>
      <c r="D36" s="1860" t="s">
        <v>1419</v>
      </c>
      <c r="E36" s="1860"/>
      <c r="F36" s="1860"/>
      <c r="I36" s="1733" t="s">
        <v>2404</v>
      </c>
    </row>
    <row r="37" spans="1:9">
      <c r="A37" s="795"/>
      <c r="B37" s="795"/>
      <c r="D37" s="1860"/>
      <c r="E37" s="1860"/>
      <c r="F37" s="1860"/>
    </row>
    <row r="38" spans="1:9">
      <c r="A38" s="795"/>
      <c r="B38" s="795"/>
      <c r="D38" s="1860"/>
      <c r="E38" s="1860"/>
      <c r="F38" s="1860"/>
    </row>
    <row r="39" spans="1:9">
      <c r="A39" s="795"/>
      <c r="B39" s="795"/>
      <c r="D39" s="1860"/>
      <c r="E39" s="1860"/>
      <c r="F39" s="1860"/>
    </row>
    <row r="40" spans="1:9">
      <c r="A40" s="795"/>
      <c r="B40" s="795"/>
      <c r="D40" s="788"/>
    </row>
    <row r="41" spans="1:9">
      <c r="A41" s="795"/>
      <c r="B41" s="796" t="s">
        <v>2672</v>
      </c>
      <c r="D41" s="1860" t="s">
        <v>1243</v>
      </c>
      <c r="E41" s="1860"/>
      <c r="F41" s="1860"/>
    </row>
    <row r="42" spans="1:9">
      <c r="A42" s="795"/>
      <c r="B42" s="795"/>
      <c r="D42" s="1860"/>
      <c r="E42" s="1860"/>
      <c r="F42" s="1860"/>
    </row>
    <row r="43" spans="1:9">
      <c r="A43" s="795"/>
      <c r="B43" s="795"/>
      <c r="D43" s="1860"/>
      <c r="E43" s="1860"/>
      <c r="F43" s="1860"/>
    </row>
    <row r="44" spans="1:9">
      <c r="A44" s="795"/>
      <c r="B44" s="795"/>
      <c r="D44" s="1860"/>
      <c r="E44" s="1860"/>
      <c r="F44" s="1860"/>
    </row>
    <row r="45" spans="1:9">
      <c r="A45" s="795"/>
      <c r="B45" s="795"/>
      <c r="D45" s="1860"/>
      <c r="E45" s="1860"/>
      <c r="F45" s="1860"/>
    </row>
    <row r="46" spans="1:9">
      <c r="A46" s="795"/>
      <c r="B46" s="795"/>
      <c r="D46" s="779"/>
      <c r="E46" s="779"/>
      <c r="F46" s="779"/>
    </row>
    <row r="47" spans="1:9">
      <c r="A47" s="795"/>
      <c r="B47" s="796" t="s">
        <v>2602</v>
      </c>
      <c r="D47" s="1860" t="s">
        <v>1244</v>
      </c>
      <c r="E47" s="1860"/>
      <c r="F47" s="1860"/>
      <c r="I47" s="1733" t="s">
        <v>2404</v>
      </c>
    </row>
    <row r="48" spans="1:9">
      <c r="A48" s="795"/>
      <c r="B48" s="795"/>
      <c r="D48" s="1860"/>
      <c r="E48" s="1860"/>
      <c r="F48" s="1860"/>
    </row>
    <row r="49" spans="1:9">
      <c r="A49" s="795"/>
      <c r="B49" s="795"/>
      <c r="D49" s="1860"/>
      <c r="E49" s="1860"/>
      <c r="F49" s="1860"/>
    </row>
    <row r="50" spans="1:9" ht="23.3" customHeight="1">
      <c r="A50" s="795"/>
      <c r="B50" s="795"/>
      <c r="D50" s="1860"/>
      <c r="E50" s="1860"/>
      <c r="F50" s="1860"/>
    </row>
    <row r="51" spans="1:9">
      <c r="A51" s="795"/>
      <c r="B51" s="795"/>
      <c r="D51" s="783"/>
    </row>
    <row r="52" spans="1:9" ht="14.5" customHeight="1">
      <c r="A52" s="795"/>
      <c r="B52" s="796" t="s">
        <v>2602</v>
      </c>
      <c r="D52" s="1860" t="s">
        <v>1245</v>
      </c>
      <c r="E52" s="1860"/>
      <c r="F52" s="1860"/>
      <c r="I52" s="1733" t="s">
        <v>2404</v>
      </c>
    </row>
    <row r="53" spans="1:9">
      <c r="A53" s="795"/>
      <c r="B53" s="795"/>
      <c r="D53" s="1860"/>
      <c r="E53" s="1860"/>
      <c r="F53" s="1860"/>
    </row>
    <row r="54" spans="1:9">
      <c r="A54" s="795"/>
      <c r="B54" s="795"/>
      <c r="D54" s="1860"/>
      <c r="E54" s="1860"/>
      <c r="F54" s="1860"/>
    </row>
    <row r="55" spans="1:9" s="616" customFormat="1">
      <c r="A55" s="795"/>
      <c r="B55" s="795"/>
      <c r="C55" s="802"/>
      <c r="D55" s="800"/>
      <c r="E55" s="691"/>
      <c r="F55" s="691"/>
      <c r="G55" s="691"/>
      <c r="I55" s="640"/>
    </row>
    <row r="56" spans="1:9" s="616" customFormat="1">
      <c r="A56" s="803"/>
      <c r="B56" s="796" t="s">
        <v>2672</v>
      </c>
      <c r="C56" s="804"/>
      <c r="D56" s="1945" t="s">
        <v>1246</v>
      </c>
      <c r="E56" s="1945"/>
      <c r="F56" s="1945"/>
      <c r="G56" s="691"/>
      <c r="I56" s="1674"/>
    </row>
    <row r="57" spans="1:9" s="616" customFormat="1">
      <c r="A57" s="803"/>
      <c r="B57" s="803"/>
      <c r="C57" s="804"/>
      <c r="D57" s="1945"/>
      <c r="E57" s="1945"/>
      <c r="F57" s="1945"/>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2602</v>
      </c>
      <c r="D61" s="1860" t="s">
        <v>1247</v>
      </c>
      <c r="E61" s="1860"/>
      <c r="F61" s="1860"/>
      <c r="I61" s="1674" t="s">
        <v>2334</v>
      </c>
    </row>
    <row r="62" spans="1:9">
      <c r="D62" s="1860"/>
      <c r="E62" s="1860"/>
      <c r="F62" s="1860"/>
    </row>
    <row r="63" spans="1:9">
      <c r="D63" s="1860"/>
      <c r="E63" s="1860"/>
      <c r="F63" s="1860"/>
    </row>
    <row r="64" spans="1:9">
      <c r="D64" s="691"/>
    </row>
    <row r="65" spans="1:9">
      <c r="A65" s="795"/>
      <c r="B65" s="796" t="s">
        <v>2602</v>
      </c>
      <c r="D65" s="1860" t="s">
        <v>1248</v>
      </c>
      <c r="E65" s="1860"/>
      <c r="F65" s="1860"/>
      <c r="I65" s="1674" t="s">
        <v>2335</v>
      </c>
    </row>
    <row r="66" spans="1:9">
      <c r="D66" s="1860"/>
      <c r="E66" s="1860"/>
      <c r="F66" s="1860"/>
    </row>
    <row r="67" spans="1:9"/>
    <row r="68" spans="1:9">
      <c r="A68" s="795"/>
      <c r="B68" s="796" t="s">
        <v>2672</v>
      </c>
      <c r="D68" s="1860" t="s">
        <v>1249</v>
      </c>
      <c r="E68" s="1860"/>
      <c r="F68" s="1860"/>
    </row>
    <row r="69" spans="1:9">
      <c r="D69" s="1860"/>
      <c r="E69" s="1860"/>
      <c r="F69" s="1860"/>
      <c r="I69" s="1674" t="s">
        <v>2336</v>
      </c>
    </row>
    <row r="70" spans="1:9">
      <c r="D70" s="1860"/>
      <c r="E70" s="1860"/>
      <c r="F70" s="1860"/>
    </row>
    <row r="71" spans="1:9">
      <c r="D71" s="788"/>
    </row>
    <row r="72" spans="1:9">
      <c r="A72" s="795"/>
      <c r="B72" s="796" t="s">
        <v>2602</v>
      </c>
      <c r="D72" s="1859" t="s">
        <v>1250</v>
      </c>
      <c r="E72" s="1859"/>
      <c r="F72" s="1859"/>
      <c r="I72" s="1674" t="s">
        <v>2336</v>
      </c>
    </row>
    <row r="73" spans="1:9">
      <c r="D73" s="1859"/>
      <c r="E73" s="1859"/>
      <c r="F73" s="1859"/>
    </row>
    <row r="74" spans="1:9">
      <c r="A74" s="795"/>
      <c r="B74" s="795"/>
      <c r="D74" s="798"/>
    </row>
    <row r="75" spans="1:9">
      <c r="A75" s="1841" t="s">
        <v>1157</v>
      </c>
      <c r="B75" s="1841"/>
      <c r="C75" s="1841"/>
      <c r="D75" s="1841"/>
      <c r="E75" s="1841"/>
      <c r="F75" s="1841"/>
      <c r="G75" s="1841"/>
      <c r="H75" s="1749"/>
      <c r="I75" s="1750"/>
    </row>
    <row r="76" spans="1:9"/>
    <row r="77" spans="1:9">
      <c r="C77" s="805"/>
      <c r="D77" s="1927" t="s">
        <v>1255</v>
      </c>
      <c r="E77" s="1927"/>
      <c r="F77" s="1927"/>
    </row>
    <row r="78" spans="1:9">
      <c r="A78" s="798"/>
      <c r="B78" s="798"/>
      <c r="D78" s="1859" t="s">
        <v>1282</v>
      </c>
      <c r="E78" s="1859"/>
      <c r="F78" s="1859"/>
    </row>
    <row r="79" spans="1:9">
      <c r="A79" s="798"/>
      <c r="B79" s="798"/>
    </row>
    <row r="80" spans="1:9" ht="13.75" customHeight="1">
      <c r="A80" s="795"/>
      <c r="B80" s="796" t="s">
        <v>2672</v>
      </c>
      <c r="D80" s="1859" t="s">
        <v>1467</v>
      </c>
      <c r="E80" s="1859"/>
      <c r="F80" s="1859"/>
      <c r="I80" s="1674" t="s">
        <v>2337</v>
      </c>
    </row>
    <row r="81" spans="1:9">
      <c r="A81" s="795"/>
      <c r="B81" s="795"/>
      <c r="D81" s="1859"/>
      <c r="E81" s="1859"/>
      <c r="F81" s="1859"/>
    </row>
    <row r="82" spans="1:9">
      <c r="A82" s="795"/>
      <c r="B82" s="795"/>
      <c r="D82" s="1859"/>
      <c r="E82" s="1859"/>
      <c r="F82" s="1859"/>
    </row>
    <row r="83" spans="1:9">
      <c r="A83" s="795"/>
      <c r="B83" s="795"/>
      <c r="D83" s="1859"/>
      <c r="E83" s="1859"/>
      <c r="F83" s="1859"/>
    </row>
    <row r="84" spans="1:9">
      <c r="A84" s="795"/>
      <c r="B84" s="795"/>
      <c r="D84" s="1859"/>
      <c r="E84" s="1859"/>
      <c r="F84" s="1859"/>
    </row>
    <row r="85" spans="1:9">
      <c r="A85" s="795"/>
      <c r="B85" s="795"/>
      <c r="D85" s="1859"/>
      <c r="E85" s="1859"/>
      <c r="F85" s="1859"/>
    </row>
    <row r="86" spans="1:9">
      <c r="A86" s="795"/>
      <c r="B86" s="795"/>
      <c r="D86" s="1859"/>
      <c r="E86" s="1859"/>
      <c r="F86" s="1859"/>
    </row>
    <row r="87" spans="1:9">
      <c r="A87" s="795"/>
      <c r="B87" s="795"/>
      <c r="D87" s="1859"/>
      <c r="E87" s="1859"/>
      <c r="F87" s="1859"/>
    </row>
    <row r="88" spans="1:9">
      <c r="A88" s="795"/>
      <c r="B88" s="795"/>
      <c r="D88" s="876"/>
      <c r="E88" s="876"/>
      <c r="F88" s="876"/>
    </row>
    <row r="89" spans="1:9" ht="15" customHeight="1">
      <c r="A89" s="795"/>
      <c r="B89" s="796" t="s">
        <v>2672</v>
      </c>
      <c r="D89" s="1859" t="s">
        <v>2171</v>
      </c>
      <c r="E89" s="1859"/>
      <c r="F89" s="1859"/>
      <c r="I89" s="1674" t="s">
        <v>2338</v>
      </c>
    </row>
    <row r="90" spans="1:9">
      <c r="A90" s="795"/>
      <c r="B90" s="795"/>
      <c r="D90" s="1859"/>
      <c r="E90" s="1859"/>
      <c r="F90" s="1859"/>
    </row>
    <row r="91" spans="1:9">
      <c r="A91" s="795"/>
      <c r="B91" s="795"/>
      <c r="D91" s="1614"/>
      <c r="E91" s="1614"/>
      <c r="F91" s="1614"/>
    </row>
    <row r="92" spans="1:9">
      <c r="A92" s="795"/>
      <c r="B92" s="796" t="s">
        <v>2672</v>
      </c>
      <c r="D92" s="1859" t="s">
        <v>2174</v>
      </c>
      <c r="E92" s="1859"/>
      <c r="F92" s="1859"/>
      <c r="I92" s="1674" t="s">
        <v>2339</v>
      </c>
    </row>
    <row r="93" spans="1:9">
      <c r="A93" s="795"/>
      <c r="B93" s="795"/>
      <c r="D93" s="1859"/>
      <c r="E93" s="1859"/>
      <c r="F93" s="1859"/>
    </row>
    <row r="94" spans="1:9">
      <c r="A94" s="795"/>
      <c r="B94" s="795"/>
      <c r="D94" s="1859"/>
      <c r="E94" s="1859"/>
      <c r="F94" s="1859"/>
    </row>
    <row r="95" spans="1:9">
      <c r="A95" s="795"/>
      <c r="B95" s="795"/>
      <c r="D95" s="1614"/>
      <c r="E95" s="1614"/>
      <c r="F95" s="1614"/>
    </row>
    <row r="96" spans="1:9">
      <c r="A96" s="795"/>
      <c r="B96" s="796" t="s">
        <v>2672</v>
      </c>
      <c r="D96" s="1859" t="s">
        <v>2173</v>
      </c>
      <c r="E96" s="1859"/>
      <c r="F96" s="1859"/>
      <c r="I96" s="1674" t="s">
        <v>2384</v>
      </c>
    </row>
    <row r="97" spans="1:9" s="1630" customFormat="1">
      <c r="A97" s="1628"/>
      <c r="B97" s="1628"/>
      <c r="C97" s="1629"/>
      <c r="D97" s="1859"/>
      <c r="E97" s="1859"/>
      <c r="F97" s="1859"/>
      <c r="I97" s="1734"/>
    </row>
    <row r="98" spans="1:9">
      <c r="A98" s="795"/>
      <c r="B98" s="795"/>
      <c r="D98" s="1620"/>
      <c r="E98" s="1804" t="s">
        <v>2516</v>
      </c>
      <c r="F98" s="1614"/>
    </row>
    <row r="99" spans="1:9">
      <c r="A99" s="795"/>
      <c r="B99" s="795"/>
      <c r="D99" s="876"/>
      <c r="E99" s="876"/>
      <c r="F99" s="876"/>
    </row>
    <row r="100" spans="1:9">
      <c r="A100" s="795"/>
      <c r="B100" s="796" t="s">
        <v>2602</v>
      </c>
      <c r="D100" s="1859" t="s">
        <v>2172</v>
      </c>
      <c r="E100" s="1859"/>
      <c r="F100" s="1859"/>
      <c r="I100" s="1674" t="s">
        <v>2340</v>
      </c>
    </row>
    <row r="101" spans="1:9">
      <c r="A101" s="795"/>
      <c r="B101" s="795"/>
      <c r="D101" s="1859"/>
      <c r="E101" s="1859"/>
      <c r="F101" s="1859"/>
    </row>
    <row r="102" spans="1:9">
      <c r="A102" s="795"/>
      <c r="B102" s="795"/>
      <c r="D102" s="1614"/>
      <c r="E102" s="1614"/>
      <c r="F102" s="1614"/>
    </row>
    <row r="103" spans="1:9" ht="14.5" customHeight="1">
      <c r="A103" s="795"/>
      <c r="B103" s="796" t="s">
        <v>2602</v>
      </c>
      <c r="D103" s="1859" t="s">
        <v>1395</v>
      </c>
      <c r="E103" s="1859"/>
      <c r="F103" s="1859"/>
      <c r="G103" s="788"/>
      <c r="I103" s="1674" t="s">
        <v>2341</v>
      </c>
    </row>
    <row r="104" spans="1:9">
      <c r="A104" s="795"/>
      <c r="B104" s="795"/>
      <c r="D104" s="1859"/>
      <c r="E104" s="1859"/>
      <c r="F104" s="1859"/>
      <c r="G104" s="788"/>
    </row>
    <row r="105" spans="1:9">
      <c r="A105" s="795"/>
      <c r="B105" s="795"/>
      <c r="D105" s="1859"/>
      <c r="E105" s="1859"/>
      <c r="F105" s="1859"/>
      <c r="G105" s="788"/>
    </row>
    <row r="106" spans="1:9">
      <c r="A106" s="795"/>
      <c r="B106" s="795"/>
      <c r="D106" s="1859"/>
      <c r="E106" s="1859"/>
      <c r="F106" s="1859"/>
      <c r="G106" s="788"/>
    </row>
    <row r="107" spans="1:9">
      <c r="A107" s="795"/>
      <c r="B107" s="795"/>
      <c r="D107" s="1859"/>
      <c r="E107" s="1859"/>
      <c r="F107" s="1859"/>
      <c r="G107" s="788"/>
    </row>
    <row r="108" spans="1:9">
      <c r="A108" s="795"/>
      <c r="B108" s="795"/>
      <c r="D108" s="1859"/>
      <c r="E108" s="1859"/>
      <c r="F108" s="1859"/>
      <c r="G108" s="788"/>
    </row>
    <row r="109" spans="1:9">
      <c r="A109" s="795"/>
      <c r="B109" s="795"/>
      <c r="D109" s="1859"/>
      <c r="E109" s="1859"/>
      <c r="F109" s="1859"/>
      <c r="G109" s="788"/>
    </row>
    <row r="110" spans="1:9">
      <c r="A110" s="795"/>
      <c r="B110" s="795"/>
      <c r="D110" s="1859"/>
      <c r="E110" s="1859"/>
      <c r="F110" s="1859"/>
      <c r="G110" s="788"/>
    </row>
    <row r="111" spans="1:9">
      <c r="A111" s="795"/>
      <c r="B111" s="795"/>
      <c r="D111" s="1859"/>
      <c r="E111" s="1859"/>
      <c r="F111" s="1859"/>
      <c r="G111" s="788"/>
    </row>
    <row r="112" spans="1:9">
      <c r="A112" s="795"/>
      <c r="B112" s="795"/>
      <c r="D112" s="1859"/>
      <c r="E112" s="1859"/>
      <c r="F112" s="1859"/>
      <c r="G112" s="788"/>
    </row>
    <row r="113" spans="1:11">
      <c r="A113" s="795"/>
      <c r="B113" s="795"/>
      <c r="D113" s="1859"/>
      <c r="E113" s="1859"/>
      <c r="F113" s="1859"/>
      <c r="G113" s="788"/>
    </row>
    <row r="114" spans="1:11">
      <c r="A114" s="795"/>
      <c r="B114" s="795"/>
      <c r="D114" s="1859"/>
      <c r="E114" s="1859"/>
      <c r="F114" s="1859"/>
      <c r="G114" s="788"/>
    </row>
    <row r="115" spans="1:11">
      <c r="A115" s="795"/>
      <c r="B115" s="795"/>
      <c r="D115" s="1859"/>
      <c r="E115" s="1859"/>
      <c r="F115" s="1859"/>
      <c r="G115" s="788"/>
    </row>
    <row r="116" spans="1:11">
      <c r="A116" s="795"/>
      <c r="B116" s="795"/>
      <c r="D116" s="1859"/>
      <c r="E116" s="1859"/>
      <c r="F116" s="1859"/>
    </row>
    <row r="117" spans="1:11">
      <c r="A117" s="795"/>
      <c r="B117" s="795"/>
      <c r="D117" s="1859"/>
      <c r="E117" s="1859"/>
      <c r="F117" s="1859"/>
    </row>
    <row r="118" spans="1:11">
      <c r="A118" s="795"/>
      <c r="B118" s="795"/>
      <c r="D118" s="902"/>
      <c r="E118" s="902"/>
      <c r="F118" s="902"/>
    </row>
    <row r="119" spans="1:11" ht="14.25" customHeight="1">
      <c r="A119" s="795"/>
      <c r="B119" s="796" t="s">
        <v>2602</v>
      </c>
      <c r="D119" s="1879" t="s">
        <v>1257</v>
      </c>
      <c r="E119" s="1879"/>
      <c r="F119" s="1879"/>
    </row>
    <row r="120" spans="1:11">
      <c r="A120" s="795"/>
      <c r="B120" s="795"/>
      <c r="D120" s="1879"/>
      <c r="E120" s="1879"/>
      <c r="F120" s="1879"/>
    </row>
    <row r="121" spans="1:11">
      <c r="A121" s="795"/>
      <c r="B121" s="795"/>
      <c r="D121" s="1879"/>
      <c r="E121" s="1879"/>
      <c r="F121" s="1879"/>
    </row>
    <row r="122" spans="1:11">
      <c r="A122" s="795"/>
      <c r="B122" s="795"/>
      <c r="D122" s="1879"/>
      <c r="E122" s="1879"/>
      <c r="F122" s="1879"/>
    </row>
    <row r="123" spans="1:11">
      <c r="A123" s="795"/>
      <c r="B123" s="795"/>
      <c r="D123" s="1879"/>
      <c r="E123" s="1879"/>
      <c r="F123" s="1879"/>
    </row>
    <row r="124" spans="1:11">
      <c r="A124" s="795"/>
      <c r="B124" s="795"/>
      <c r="D124" s="1879"/>
      <c r="E124" s="1879"/>
      <c r="F124" s="1879"/>
    </row>
    <row r="125" spans="1:11">
      <c r="A125" s="795"/>
      <c r="B125" s="795"/>
      <c r="D125" s="1879"/>
      <c r="E125" s="1879"/>
      <c r="F125" s="1879"/>
    </row>
    <row r="126" spans="1:11">
      <c r="A126" s="795"/>
      <c r="B126" s="795"/>
      <c r="D126" s="1879"/>
      <c r="E126" s="1879"/>
      <c r="F126" s="1879"/>
    </row>
    <row r="127" spans="1:11">
      <c r="C127" s="720"/>
      <c r="D127" s="903"/>
      <c r="E127" s="903"/>
      <c r="F127" s="903"/>
      <c r="G127" s="720"/>
      <c r="H127" s="720"/>
      <c r="I127" s="620"/>
      <c r="J127" s="720"/>
      <c r="K127" s="720"/>
    </row>
    <row r="128" spans="1:11">
      <c r="A128" s="795"/>
      <c r="B128" s="796" t="s">
        <v>2672</v>
      </c>
      <c r="C128" s="720"/>
      <c r="D128" s="1879" t="s">
        <v>1259</v>
      </c>
      <c r="E128" s="1879"/>
      <c r="F128" s="1879"/>
      <c r="G128" s="720"/>
      <c r="H128" s="720"/>
      <c r="I128" s="620" t="s">
        <v>2342</v>
      </c>
      <c r="J128" s="720"/>
      <c r="K128" s="720"/>
    </row>
    <row r="129" spans="1:11">
      <c r="A129" s="795"/>
      <c r="B129" s="795"/>
      <c r="C129" s="720"/>
      <c r="D129" s="1879"/>
      <c r="E129" s="1879"/>
      <c r="F129" s="1879"/>
      <c r="G129" s="720"/>
      <c r="H129" s="720"/>
      <c r="I129" s="620"/>
      <c r="J129" s="720"/>
      <c r="K129" s="720"/>
    </row>
    <row r="130" spans="1:11"/>
    <row r="131" spans="1:11">
      <c r="A131" s="795"/>
      <c r="B131" s="796" t="s">
        <v>2672</v>
      </c>
      <c r="C131" s="802"/>
      <c r="D131" s="1859" t="s">
        <v>1260</v>
      </c>
      <c r="E131" s="1859"/>
      <c r="F131" s="1859"/>
      <c r="I131" s="620" t="s">
        <v>2342</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c r="A137" s="795"/>
      <c r="B137" s="796" t="s">
        <v>2672</v>
      </c>
      <c r="C137" s="802"/>
      <c r="D137" s="1860" t="s">
        <v>1261</v>
      </c>
      <c r="E137" s="1860"/>
      <c r="F137" s="1860"/>
      <c r="G137" s="670"/>
      <c r="I137" s="620" t="s">
        <v>2343</v>
      </c>
    </row>
    <row r="138" spans="1:11" s="810" customFormat="1" ht="13.75" customHeight="1">
      <c r="A138" s="807"/>
      <c r="B138" s="807"/>
      <c r="C138" s="808"/>
      <c r="D138" s="1860"/>
      <c r="E138" s="1860"/>
      <c r="F138" s="1860"/>
      <c r="G138" s="809"/>
      <c r="I138" s="1735"/>
    </row>
    <row r="139" spans="1:11" s="720" customFormat="1" ht="13.75" customHeight="1">
      <c r="A139" s="786"/>
      <c r="B139" s="786"/>
      <c r="C139" s="802"/>
      <c r="D139" s="1860"/>
      <c r="E139" s="1860"/>
      <c r="F139" s="1860"/>
      <c r="G139" s="670"/>
      <c r="I139" s="620"/>
    </row>
    <row r="140" spans="1:11" s="720" customFormat="1" ht="13.75" customHeight="1">
      <c r="A140" s="786"/>
      <c r="B140" s="786"/>
      <c r="C140" s="802"/>
      <c r="D140" s="1860"/>
      <c r="E140" s="1860"/>
      <c r="F140" s="1860"/>
      <c r="G140" s="670"/>
      <c r="I140" s="620"/>
    </row>
    <row r="141" spans="1:11" s="720" customFormat="1" ht="13.75" customHeight="1">
      <c r="A141" s="786"/>
      <c r="B141" s="786"/>
      <c r="C141" s="802"/>
      <c r="D141" s="1860"/>
      <c r="E141" s="1860"/>
      <c r="F141" s="1860"/>
      <c r="G141" s="670"/>
      <c r="I141" s="620"/>
    </row>
    <row r="142" spans="1:11" s="720" customFormat="1" ht="13.75" customHeight="1">
      <c r="A142" s="811"/>
      <c r="B142" s="811"/>
      <c r="C142" s="802"/>
      <c r="D142" s="1860"/>
      <c r="E142" s="1860"/>
      <c r="F142" s="1860"/>
      <c r="G142" s="670"/>
      <c r="I142" s="620"/>
    </row>
    <row r="143" spans="1:11" s="616" customFormat="1" ht="13.75" customHeight="1">
      <c r="A143" s="799"/>
      <c r="B143" s="799"/>
      <c r="C143" s="804"/>
      <c r="D143" s="1860"/>
      <c r="E143" s="1860"/>
      <c r="F143" s="1860"/>
      <c r="G143" s="691"/>
      <c r="I143" s="640"/>
    </row>
    <row r="144" spans="1:11" s="616" customFormat="1" ht="13.75" customHeight="1">
      <c r="A144" s="799"/>
      <c r="B144" s="799"/>
      <c r="C144" s="804"/>
      <c r="D144" s="1860"/>
      <c r="E144" s="1860"/>
      <c r="F144" s="1860"/>
      <c r="G144" s="691"/>
      <c r="I144" s="640"/>
    </row>
    <row r="145" spans="1:9" s="616" customFormat="1" ht="13.75" customHeight="1">
      <c r="A145" s="799"/>
      <c r="B145" s="799"/>
      <c r="C145" s="1676"/>
      <c r="D145" s="1860"/>
      <c r="E145" s="1860"/>
      <c r="F145" s="1860"/>
      <c r="G145" s="691"/>
      <c r="I145" s="640"/>
    </row>
    <row r="146" spans="1:9" s="720" customFormat="1" ht="13.75" customHeight="1">
      <c r="A146" s="786"/>
      <c r="B146" s="786"/>
      <c r="C146" s="802"/>
      <c r="D146" s="1860"/>
      <c r="E146" s="1860"/>
      <c r="F146" s="1860"/>
      <c r="G146" s="670"/>
      <c r="I146" s="620"/>
    </row>
    <row r="147" spans="1:9" s="720" customFormat="1" ht="13.75" customHeight="1">
      <c r="A147" s="786"/>
      <c r="B147" s="786"/>
      <c r="C147" s="802"/>
      <c r="D147" s="1860"/>
      <c r="E147" s="1860"/>
      <c r="F147" s="1860"/>
      <c r="G147" s="670"/>
      <c r="I147" s="620"/>
    </row>
    <row r="148" spans="1:9" s="720" customFormat="1" ht="13.75" customHeight="1">
      <c r="A148" s="786"/>
      <c r="B148" s="786"/>
      <c r="C148" s="802"/>
      <c r="D148" s="1860"/>
      <c r="E148" s="1860"/>
      <c r="F148" s="1860"/>
      <c r="G148" s="670"/>
      <c r="I148" s="620"/>
    </row>
    <row r="149" spans="1:9" s="720" customFormat="1" ht="13.75" customHeight="1">
      <c r="A149" s="786"/>
      <c r="B149" s="786"/>
      <c r="C149" s="802"/>
      <c r="D149" s="1860"/>
      <c r="E149" s="1860"/>
      <c r="F149" s="1860"/>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2602</v>
      </c>
      <c r="C151" s="802"/>
      <c r="D151" s="1941" t="s">
        <v>1369</v>
      </c>
      <c r="E151" s="1941"/>
      <c r="F151" s="1941"/>
      <c r="G151" s="670"/>
      <c r="I151" s="620" t="s">
        <v>2344</v>
      </c>
    </row>
    <row r="152" spans="1:9" s="720" customFormat="1" ht="13.75" customHeight="1">
      <c r="A152" s="786"/>
      <c r="B152" s="786"/>
      <c r="C152" s="802"/>
      <c r="D152" s="1941"/>
      <c r="E152" s="1941"/>
      <c r="F152" s="1941"/>
      <c r="G152" s="670"/>
      <c r="I152" s="620"/>
    </row>
    <row r="153" spans="1:9" s="720" customFormat="1" ht="13.75" customHeight="1">
      <c r="A153" s="786"/>
      <c r="B153" s="786"/>
      <c r="C153" s="802"/>
      <c r="D153" s="1941"/>
      <c r="E153" s="1941"/>
      <c r="F153" s="1941"/>
      <c r="G153" s="670"/>
      <c r="I153" s="620"/>
    </row>
    <row r="154" spans="1:9" s="720" customFormat="1" ht="13.75" customHeight="1">
      <c r="A154" s="786"/>
      <c r="B154" s="786"/>
      <c r="C154" s="802"/>
      <c r="D154" s="1941"/>
      <c r="E154" s="1941"/>
      <c r="F154" s="1941"/>
      <c r="G154" s="670"/>
      <c r="I154" s="620"/>
    </row>
    <row r="155" spans="1:9" s="720" customFormat="1" ht="13.75" customHeight="1">
      <c r="A155" s="786"/>
      <c r="B155" s="786"/>
      <c r="C155" s="802"/>
      <c r="D155" s="1941"/>
      <c r="E155" s="1941"/>
      <c r="F155" s="1941"/>
      <c r="G155" s="670"/>
      <c r="I155" s="620"/>
    </row>
    <row r="156" spans="1:9" s="720" customFormat="1" ht="13.75" customHeight="1">
      <c r="A156" s="786"/>
      <c r="B156" s="786"/>
      <c r="C156" s="802"/>
      <c r="D156" s="1941"/>
      <c r="E156" s="1941"/>
      <c r="F156" s="1941"/>
      <c r="G156" s="670"/>
      <c r="I156" s="620"/>
    </row>
    <row r="157" spans="1:9" s="720" customFormat="1" ht="13.75" customHeight="1">
      <c r="A157" s="786"/>
      <c r="B157" s="786"/>
      <c r="C157" s="802"/>
      <c r="D157" s="1941"/>
      <c r="E157" s="1941"/>
      <c r="F157" s="1941"/>
      <c r="G157" s="670"/>
      <c r="I157" s="620"/>
    </row>
    <row r="158" spans="1:9" s="720" customFormat="1" ht="13.75" customHeight="1">
      <c r="A158" s="786"/>
      <c r="B158" s="786"/>
      <c r="C158" s="802"/>
      <c r="D158" s="1941"/>
      <c r="E158" s="1941"/>
      <c r="F158" s="1941"/>
      <c r="G158" s="670"/>
      <c r="I158" s="620"/>
    </row>
    <row r="159" spans="1:9" s="720" customFormat="1" ht="13.75" customHeight="1">
      <c r="A159" s="786"/>
      <c r="B159" s="786"/>
      <c r="C159" s="802"/>
      <c r="D159" s="1941"/>
      <c r="E159" s="1941"/>
      <c r="F159" s="1941"/>
      <c r="G159" s="670"/>
      <c r="I159" s="620"/>
    </row>
    <row r="160" spans="1:9" s="720" customFormat="1" ht="13.75" customHeight="1">
      <c r="A160" s="786"/>
      <c r="B160" s="786"/>
      <c r="C160" s="802"/>
      <c r="D160" s="1941"/>
      <c r="E160" s="1941"/>
      <c r="F160" s="1941"/>
      <c r="G160" s="670"/>
      <c r="I160" s="620"/>
    </row>
    <row r="161" spans="1:9" s="720" customFormat="1" ht="13.75" customHeight="1">
      <c r="A161" s="786"/>
      <c r="B161" s="786"/>
      <c r="C161" s="802"/>
      <c r="D161" s="1941"/>
      <c r="E161" s="1941"/>
      <c r="F161" s="1941"/>
      <c r="G161" s="670"/>
      <c r="I161" s="620"/>
    </row>
    <row r="162" spans="1:9" s="720" customFormat="1" ht="13.75" customHeight="1">
      <c r="A162" s="786"/>
      <c r="B162" s="786"/>
      <c r="C162" s="802"/>
      <c r="D162" s="1941"/>
      <c r="E162" s="1941"/>
      <c r="F162" s="1941"/>
      <c r="G162" s="670"/>
      <c r="I162" s="620"/>
    </row>
    <row r="163" spans="1:9" s="720" customFormat="1" ht="13.75" customHeight="1">
      <c r="A163" s="786"/>
      <c r="B163" s="786"/>
      <c r="C163" s="802"/>
      <c r="D163" s="1941"/>
      <c r="E163" s="1941"/>
      <c r="F163" s="1941"/>
      <c r="G163" s="670"/>
      <c r="I163" s="620"/>
    </row>
    <row r="164" spans="1:9" s="720" customFormat="1" ht="13.75" customHeight="1">
      <c r="A164" s="786"/>
      <c r="B164" s="786"/>
      <c r="C164" s="802"/>
      <c r="D164" s="1941"/>
      <c r="E164" s="1941"/>
      <c r="F164" s="1941"/>
      <c r="G164" s="670"/>
      <c r="I164" s="620"/>
    </row>
    <row r="165" spans="1:9" s="720" customFormat="1" ht="13.75" customHeight="1">
      <c r="A165" s="786"/>
      <c r="B165" s="786"/>
      <c r="C165" s="802"/>
      <c r="D165" s="1941"/>
      <c r="E165" s="1941"/>
      <c r="F165" s="1941"/>
      <c r="G165" s="670"/>
      <c r="I165" s="620"/>
    </row>
    <row r="166" spans="1:9" s="720" customFormat="1" ht="13.75" customHeight="1">
      <c r="A166" s="786"/>
      <c r="B166" s="786"/>
      <c r="C166" s="802"/>
      <c r="D166" s="1941"/>
      <c r="E166" s="1941"/>
      <c r="F166" s="1941"/>
      <c r="G166" s="670"/>
      <c r="I166" s="620"/>
    </row>
    <row r="167" spans="1:9" s="720" customFormat="1" ht="13.75" customHeight="1">
      <c r="A167" s="786"/>
      <c r="B167" s="786"/>
      <c r="C167" s="802"/>
      <c r="D167" s="1941"/>
      <c r="E167" s="1941"/>
      <c r="F167" s="1941"/>
      <c r="G167" s="670"/>
      <c r="I167" s="620"/>
    </row>
    <row r="168" spans="1:9" s="720" customFormat="1" ht="13.75" customHeight="1">
      <c r="A168" s="786"/>
      <c r="B168" s="786"/>
      <c r="C168" s="802"/>
      <c r="D168" s="1941"/>
      <c r="E168" s="1941"/>
      <c r="F168" s="1941"/>
      <c r="G168" s="670"/>
      <c r="I168" s="620"/>
    </row>
    <row r="169" spans="1:9" s="720" customFormat="1" ht="13.75" customHeight="1">
      <c r="A169" s="786"/>
      <c r="B169" s="786"/>
      <c r="C169" s="802"/>
      <c r="D169" s="1942" t="s">
        <v>1403</v>
      </c>
      <c r="E169" s="1942"/>
      <c r="F169" s="1942"/>
      <c r="G169" s="854"/>
      <c r="I169" s="620"/>
    </row>
    <row r="170" spans="1:9" s="720" customFormat="1" ht="13.75" customHeight="1">
      <c r="A170" s="786"/>
      <c r="B170" s="786"/>
      <c r="C170" s="802"/>
      <c r="D170" s="1940"/>
      <c r="E170" s="1940"/>
      <c r="F170" s="1940"/>
      <c r="G170" s="1940"/>
      <c r="I170" s="620"/>
    </row>
    <row r="171" spans="1:9" s="720" customFormat="1" ht="14.5" customHeight="1">
      <c r="A171" s="811"/>
      <c r="B171" s="796" t="s">
        <v>2602</v>
      </c>
      <c r="C171" s="812"/>
      <c r="D171" s="1833" t="s">
        <v>1430</v>
      </c>
      <c r="E171" s="1833"/>
      <c r="F171" s="1833"/>
      <c r="G171" s="813"/>
      <c r="I171" s="620" t="s">
        <v>2339</v>
      </c>
    </row>
    <row r="172" spans="1:9" s="720" customFormat="1" ht="14.5" customHeight="1">
      <c r="A172" s="811"/>
      <c r="B172" s="811"/>
      <c r="C172" s="812"/>
      <c r="D172" s="1833"/>
      <c r="E172" s="1833"/>
      <c r="F172" s="1833"/>
      <c r="G172" s="813"/>
      <c r="I172" s="620"/>
    </row>
    <row r="173" spans="1:9" s="720" customFormat="1" ht="13.75" customHeight="1">
      <c r="A173" s="811"/>
      <c r="B173" s="811"/>
      <c r="C173" s="812"/>
      <c r="D173" s="1833"/>
      <c r="E173" s="1833"/>
      <c r="F173" s="1833"/>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2672</v>
      </c>
      <c r="C175" s="812"/>
      <c r="D175" s="1829" t="s">
        <v>1263</v>
      </c>
      <c r="E175" s="1829"/>
      <c r="F175" s="1829"/>
      <c r="G175" s="813"/>
      <c r="I175" s="620" t="s">
        <v>2345</v>
      </c>
    </row>
    <row r="176" spans="1:9" s="720" customFormat="1" ht="13.75" customHeight="1">
      <c r="A176" s="811"/>
      <c r="B176" s="811"/>
      <c r="C176" s="812"/>
      <c r="D176" s="1829"/>
      <c r="E176" s="1829"/>
      <c r="F176" s="1829"/>
      <c r="G176" s="813"/>
      <c r="I176" s="620"/>
    </row>
    <row r="177" spans="1:9" s="720" customFormat="1" ht="13.75" customHeight="1">
      <c r="A177" s="811"/>
      <c r="B177" s="811"/>
      <c r="C177" s="812"/>
      <c r="D177" s="1829"/>
      <c r="E177" s="1829"/>
      <c r="F177" s="1829"/>
      <c r="G177" s="813"/>
      <c r="I177" s="620"/>
    </row>
    <row r="178" spans="1:9" s="720" customFormat="1" ht="13.75" customHeight="1">
      <c r="A178" s="811"/>
      <c r="B178" s="811"/>
      <c r="C178" s="812"/>
      <c r="D178" s="1829"/>
      <c r="E178" s="1829"/>
      <c r="F178" s="1829"/>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2602</v>
      </c>
      <c r="C180" s="802"/>
      <c r="D180" s="1864" t="s">
        <v>1264</v>
      </c>
      <c r="E180" s="1864"/>
      <c r="F180" s="1864"/>
      <c r="G180" s="670"/>
      <c r="I180" s="620" t="s">
        <v>2346</v>
      </c>
    </row>
    <row r="181" spans="1:9" s="720" customFormat="1" ht="13.75" customHeight="1">
      <c r="A181" s="786"/>
      <c r="B181" s="786"/>
      <c r="C181" s="802"/>
      <c r="D181" s="1864"/>
      <c r="E181" s="1864"/>
      <c r="F181" s="1864"/>
      <c r="G181" s="670"/>
      <c r="I181" s="620"/>
    </row>
    <row r="182" spans="1:9" s="720" customFormat="1" ht="13.75" customHeight="1">
      <c r="A182" s="786"/>
      <c r="B182" s="786"/>
      <c r="C182" s="802"/>
      <c r="D182" s="1864"/>
      <c r="E182" s="1864"/>
      <c r="F182" s="1864"/>
      <c r="G182" s="670"/>
      <c r="I182" s="620"/>
    </row>
    <row r="183" spans="1:9" s="720" customFormat="1" ht="13.75" customHeight="1">
      <c r="A183" s="814"/>
      <c r="B183" s="814"/>
      <c r="C183" s="802"/>
      <c r="D183" s="787"/>
      <c r="E183" s="783"/>
      <c r="F183" s="783"/>
      <c r="G183" s="670"/>
      <c r="I183" s="620"/>
    </row>
    <row r="184" spans="1:9">
      <c r="A184" s="1841" t="s">
        <v>2322</v>
      </c>
      <c r="B184" s="1841"/>
      <c r="C184" s="1841"/>
      <c r="D184" s="1841"/>
      <c r="E184" s="1841"/>
      <c r="F184" s="1841"/>
      <c r="G184" s="1841"/>
      <c r="H184" s="1749"/>
      <c r="I184" s="1750"/>
    </row>
    <row r="185" spans="1:9" ht="12" customHeight="1">
      <c r="D185" s="798"/>
      <c r="E185" s="798"/>
      <c r="F185" s="798"/>
    </row>
    <row r="186" spans="1:9">
      <c r="B186" s="1928" t="s">
        <v>470</v>
      </c>
      <c r="C186" s="1928"/>
      <c r="D186" s="1928"/>
      <c r="E186" s="1928"/>
      <c r="F186" s="1928"/>
    </row>
    <row r="187" spans="1:9" s="1672" customFormat="1">
      <c r="A187" s="786"/>
      <c r="B187" s="1727" t="s">
        <v>2323</v>
      </c>
      <c r="C187" s="1727"/>
      <c r="D187" s="1727"/>
      <c r="E187" s="1727"/>
      <c r="F187" s="1727"/>
      <c r="G187" s="1671"/>
      <c r="I187" s="1674"/>
    </row>
    <row r="188" spans="1:9" ht="12" customHeight="1">
      <c r="A188" s="791"/>
      <c r="B188" s="791"/>
      <c r="C188" s="791"/>
    </row>
    <row r="189" spans="1:9">
      <c r="A189" s="1841" t="s">
        <v>1159</v>
      </c>
      <c r="B189" s="1841"/>
      <c r="C189" s="1841"/>
      <c r="D189" s="1841"/>
      <c r="E189" s="1841"/>
      <c r="F189" s="1841"/>
      <c r="G189" s="1841"/>
      <c r="H189" s="1749"/>
      <c r="I189" s="1750"/>
    </row>
    <row r="190" spans="1:9" ht="12" customHeight="1">
      <c r="A190" s="815"/>
      <c r="B190" s="815"/>
      <c r="C190" s="816"/>
      <c r="D190" s="817"/>
      <c r="E190" s="818"/>
      <c r="F190" s="817"/>
      <c r="G190" s="817"/>
    </row>
    <row r="191" spans="1:9" ht="13.75" customHeight="1">
      <c r="A191" s="815"/>
      <c r="B191" s="815"/>
      <c r="C191" s="816"/>
      <c r="D191" s="1865" t="s">
        <v>2175</v>
      </c>
      <c r="E191" s="1865"/>
      <c r="F191" s="1865"/>
      <c r="G191" s="817"/>
    </row>
    <row r="192" spans="1:9">
      <c r="A192" s="815"/>
      <c r="B192" s="815"/>
      <c r="C192" s="816"/>
      <c r="D192" s="1865"/>
      <c r="E192" s="1865"/>
      <c r="F192" s="1865"/>
      <c r="G192" s="817"/>
    </row>
    <row r="193" spans="1:9">
      <c r="A193" s="815"/>
      <c r="B193" s="815"/>
      <c r="C193" s="816"/>
      <c r="D193" s="1866" t="s">
        <v>1396</v>
      </c>
      <c r="E193" s="1866"/>
      <c r="F193" s="1866"/>
      <c r="G193" s="817"/>
    </row>
    <row r="194" spans="1:9">
      <c r="A194" s="815"/>
      <c r="B194" s="815"/>
      <c r="C194" s="816"/>
      <c r="D194" s="1615"/>
      <c r="E194" s="1615"/>
      <c r="F194" s="1615"/>
      <c r="G194" s="817"/>
    </row>
    <row r="195" spans="1:9">
      <c r="A195" s="815"/>
      <c r="B195" s="796" t="s">
        <v>2672</v>
      </c>
      <c r="C195" s="816"/>
      <c r="D195" s="1834" t="s">
        <v>2176</v>
      </c>
      <c r="E195" s="1834"/>
      <c r="F195" s="1834"/>
      <c r="G195" s="817"/>
      <c r="I195" s="1674" t="s">
        <v>2395</v>
      </c>
    </row>
    <row r="196" spans="1:9">
      <c r="A196" s="815"/>
      <c r="B196" s="815"/>
      <c r="C196" s="816"/>
      <c r="D196" s="1887" t="s">
        <v>2491</v>
      </c>
      <c r="E196" s="1887"/>
      <c r="F196" s="1887"/>
      <c r="G196" s="817"/>
    </row>
    <row r="197" spans="1:9">
      <c r="A197" s="815"/>
      <c r="B197" s="815"/>
      <c r="C197" s="816"/>
      <c r="D197" s="1631" t="s">
        <v>2177</v>
      </c>
      <c r="E197" s="1946" t="s">
        <v>2517</v>
      </c>
      <c r="F197" s="1946"/>
      <c r="G197" s="817"/>
    </row>
    <row r="198" spans="1:9">
      <c r="A198" s="815"/>
      <c r="B198" s="815"/>
      <c r="C198" s="816"/>
      <c r="D198" s="155"/>
      <c r="E198" s="155"/>
      <c r="F198" s="155"/>
      <c r="G198" s="817"/>
    </row>
    <row r="199" spans="1:9">
      <c r="A199" s="815"/>
      <c r="B199" s="796" t="s">
        <v>2602</v>
      </c>
      <c r="C199" s="816"/>
      <c r="D199" s="1887" t="s">
        <v>2178</v>
      </c>
      <c r="E199" s="1887"/>
      <c r="F199" s="1887"/>
      <c r="G199" s="817"/>
      <c r="I199" s="1674" t="s">
        <v>2396</v>
      </c>
    </row>
    <row r="200" spans="1:9">
      <c r="A200" s="815"/>
      <c r="B200" s="815"/>
      <c r="C200" s="816"/>
      <c r="D200" s="1834" t="s">
        <v>2491</v>
      </c>
      <c r="E200" s="1834"/>
      <c r="F200" s="1834"/>
      <c r="G200" s="817"/>
    </row>
    <row r="201" spans="1:9">
      <c r="A201" s="815"/>
      <c r="B201" s="815"/>
      <c r="C201" s="816"/>
      <c r="D201" s="1613" t="s">
        <v>2179</v>
      </c>
      <c r="E201" s="1946" t="s">
        <v>2518</v>
      </c>
      <c r="F201" s="1946"/>
      <c r="G201" s="817"/>
    </row>
    <row r="202" spans="1:9">
      <c r="A202" s="815"/>
      <c r="B202" s="815"/>
      <c r="C202" s="816"/>
      <c r="D202" s="155"/>
      <c r="E202" s="155"/>
      <c r="F202" s="155"/>
      <c r="G202" s="817"/>
    </row>
    <row r="203" spans="1:9">
      <c r="A203" s="815"/>
      <c r="B203" s="796" t="s">
        <v>2602</v>
      </c>
      <c r="C203" s="816"/>
      <c r="D203" s="1887" t="s">
        <v>2180</v>
      </c>
      <c r="E203" s="1887"/>
      <c r="F203" s="1887"/>
      <c r="G203" s="817"/>
      <c r="I203" s="1674" t="s">
        <v>2397</v>
      </c>
    </row>
    <row r="204" spans="1:9">
      <c r="A204" s="815"/>
      <c r="B204" s="815"/>
      <c r="C204" s="816"/>
      <c r="D204" s="1834" t="s">
        <v>2491</v>
      </c>
      <c r="E204" s="1834"/>
      <c r="F204" s="1834"/>
      <c r="G204" s="817"/>
    </row>
    <row r="205" spans="1:9">
      <c r="A205" s="815"/>
      <c r="B205" s="815"/>
      <c r="C205" s="816"/>
      <c r="D205" s="1613" t="s">
        <v>2177</v>
      </c>
      <c r="E205" s="1946" t="s">
        <v>2519</v>
      </c>
      <c r="F205" s="1946"/>
      <c r="G205" s="817"/>
    </row>
    <row r="206" spans="1:9">
      <c r="A206" s="815"/>
      <c r="B206" s="815"/>
      <c r="C206" s="816"/>
      <c r="D206" s="1615"/>
      <c r="E206" s="1615"/>
      <c r="F206" s="1615"/>
      <c r="G206" s="817"/>
    </row>
    <row r="207" spans="1:9" ht="14.25" customHeight="1">
      <c r="A207" s="795"/>
      <c r="B207" s="796" t="s">
        <v>2602</v>
      </c>
      <c r="C207" s="816"/>
      <c r="D207" s="1805" t="s">
        <v>2484</v>
      </c>
      <c r="E207" s="876"/>
      <c r="F207" s="876"/>
      <c r="G207" s="817"/>
      <c r="I207" s="1674" t="s">
        <v>2398</v>
      </c>
    </row>
    <row r="208" spans="1:9">
      <c r="A208" s="795"/>
      <c r="B208" s="795"/>
      <c r="C208" s="816"/>
      <c r="D208" s="1834" t="s">
        <v>2491</v>
      </c>
      <c r="E208" s="1834"/>
      <c r="F208" s="1834"/>
      <c r="G208" s="817"/>
    </row>
    <row r="209" spans="1:9">
      <c r="A209" s="816"/>
      <c r="B209" s="816"/>
      <c r="C209" s="816"/>
      <c r="D209" s="876"/>
      <c r="E209" s="1946" t="s">
        <v>2520</v>
      </c>
      <c r="F209" s="1946"/>
    </row>
    <row r="210" spans="1:9">
      <c r="A210" s="816"/>
      <c r="B210" s="816"/>
      <c r="C210" s="816"/>
      <c r="D210" s="801"/>
      <c r="E210" s="817"/>
      <c r="F210" s="817"/>
    </row>
    <row r="211" spans="1:9">
      <c r="A211" s="816"/>
      <c r="B211" s="796" t="s">
        <v>2602</v>
      </c>
      <c r="C211" s="816"/>
      <c r="D211" s="1887" t="s">
        <v>2181</v>
      </c>
      <c r="E211" s="1887"/>
      <c r="F211" s="1887"/>
      <c r="I211" s="1674" t="s">
        <v>2399</v>
      </c>
    </row>
    <row r="212" spans="1:9">
      <c r="A212" s="816"/>
      <c r="B212" s="816"/>
      <c r="C212" s="816"/>
      <c r="D212" s="1834" t="s">
        <v>2491</v>
      </c>
      <c r="E212" s="1834"/>
      <c r="F212" s="1834"/>
    </row>
    <row r="213" spans="1:9">
      <c r="A213" s="816"/>
      <c r="B213" s="816"/>
      <c r="C213" s="816"/>
      <c r="D213" s="1613" t="s">
        <v>2177</v>
      </c>
      <c r="E213" s="1946" t="s">
        <v>2521</v>
      </c>
      <c r="F213" s="1946"/>
    </row>
    <row r="214" spans="1:9">
      <c r="A214" s="816"/>
      <c r="B214" s="816"/>
      <c r="C214" s="816"/>
      <c r="D214" s="777"/>
      <c r="E214" s="777"/>
      <c r="F214" s="777"/>
    </row>
    <row r="215" spans="1:9" s="616" customFormat="1">
      <c r="A215" s="795"/>
      <c r="B215" s="796" t="s">
        <v>2602</v>
      </c>
      <c r="C215" s="804"/>
      <c r="D215" s="1859" t="s">
        <v>1421</v>
      </c>
      <c r="E215" s="1859"/>
      <c r="F215" s="1859"/>
      <c r="G215" s="691"/>
      <c r="I215" s="640"/>
    </row>
    <row r="216" spans="1:9" s="616" customFormat="1" ht="14.5" customHeight="1">
      <c r="A216" s="795"/>
      <c r="C216" s="804"/>
      <c r="D216" s="1859"/>
      <c r="E216" s="1859"/>
      <c r="F216" s="1859"/>
      <c r="G216" s="691"/>
      <c r="I216" s="640"/>
    </row>
    <row r="217" spans="1:9" s="616" customFormat="1">
      <c r="A217" s="795"/>
      <c r="B217" s="816"/>
      <c r="C217" s="804"/>
      <c r="D217" s="1859"/>
      <c r="E217" s="1859"/>
      <c r="F217" s="1859"/>
      <c r="G217" s="691"/>
      <c r="I217" s="640"/>
    </row>
    <row r="218" spans="1:9" s="616" customFormat="1">
      <c r="A218" s="795"/>
      <c r="B218" s="816"/>
      <c r="C218" s="804"/>
      <c r="D218" s="1859"/>
      <c r="E218" s="1859"/>
      <c r="F218" s="1859"/>
      <c r="G218" s="691"/>
      <c r="I218" s="640"/>
    </row>
    <row r="219" spans="1:9">
      <c r="A219" s="816"/>
      <c r="B219" s="816"/>
      <c r="C219" s="816"/>
      <c r="D219" s="777"/>
      <c r="E219" s="777"/>
      <c r="F219" s="777"/>
    </row>
    <row r="220" spans="1:9">
      <c r="A220" s="1841" t="s">
        <v>1160</v>
      </c>
      <c r="B220" s="1841"/>
      <c r="C220" s="1841"/>
      <c r="D220" s="1841"/>
      <c r="E220" s="1841"/>
      <c r="F220" s="1841"/>
      <c r="G220" s="1841"/>
      <c r="H220" s="1749"/>
      <c r="I220" s="1750"/>
    </row>
    <row r="221" spans="1:9" ht="12" customHeight="1">
      <c r="D221" s="798"/>
      <c r="E221" s="798"/>
      <c r="F221" s="798"/>
    </row>
    <row r="222" spans="1:9">
      <c r="C222" s="805"/>
      <c r="D222" s="1950" t="s">
        <v>214</v>
      </c>
      <c r="E222" s="1950"/>
      <c r="F222" s="1950"/>
    </row>
    <row r="223" spans="1:9">
      <c r="A223" s="791"/>
      <c r="B223" s="791"/>
      <c r="C223" s="791"/>
      <c r="D223" s="1931" t="s">
        <v>1289</v>
      </c>
      <c r="E223" s="1931"/>
      <c r="F223" s="1931"/>
    </row>
    <row r="224" spans="1:9" ht="12" customHeight="1">
      <c r="A224" s="814"/>
      <c r="B224" s="814"/>
      <c r="C224" s="814"/>
    </row>
    <row r="225" spans="1:9" ht="13.75" customHeight="1">
      <c r="A225" s="814"/>
      <c r="C225" s="814"/>
      <c r="D225" s="1858" t="s">
        <v>579</v>
      </c>
      <c r="E225" s="1858"/>
      <c r="F225" s="1858"/>
      <c r="I225" s="1674" t="s">
        <v>2347</v>
      </c>
    </row>
    <row r="226" spans="1:9">
      <c r="A226" s="795"/>
      <c r="B226" s="796" t="s">
        <v>2672</v>
      </c>
      <c r="D226" s="1859" t="s">
        <v>2182</v>
      </c>
      <c r="E226" s="1859"/>
      <c r="F226" s="1859"/>
    </row>
    <row r="227" spans="1:9" ht="14.25" customHeight="1">
      <c r="A227" s="795"/>
      <c r="B227" s="795"/>
      <c r="D227" s="1859"/>
      <c r="E227" s="1859"/>
      <c r="F227" s="1859"/>
    </row>
    <row r="228" spans="1:9" ht="14.25" customHeight="1">
      <c r="A228" s="795"/>
      <c r="B228" s="795"/>
      <c r="D228" s="1859"/>
      <c r="E228" s="1859"/>
      <c r="F228" s="1859"/>
    </row>
    <row r="229" spans="1:9">
      <c r="A229" s="795"/>
      <c r="B229" s="795"/>
      <c r="D229" s="1859"/>
      <c r="E229" s="1859"/>
      <c r="F229" s="1859"/>
    </row>
    <row r="230" spans="1:9">
      <c r="A230" s="795"/>
      <c r="B230" s="795"/>
      <c r="D230" s="1614"/>
      <c r="E230" s="1614"/>
      <c r="F230" s="1614"/>
    </row>
    <row r="231" spans="1:9">
      <c r="A231" s="795"/>
      <c r="B231" s="796" t="s">
        <v>2672</v>
      </c>
      <c r="D231" s="1859" t="s">
        <v>2183</v>
      </c>
      <c r="E231" s="1859"/>
      <c r="F231" s="1859"/>
      <c r="I231" s="1674" t="s">
        <v>2348</v>
      </c>
    </row>
    <row r="232" spans="1:9">
      <c r="A232" s="795"/>
      <c r="B232" s="795"/>
      <c r="D232" s="1859"/>
      <c r="E232" s="1859"/>
      <c r="F232" s="1859"/>
    </row>
    <row r="233" spans="1:9">
      <c r="A233" s="795"/>
      <c r="B233" s="795"/>
      <c r="D233" s="1859"/>
      <c r="E233" s="1859"/>
      <c r="F233" s="1859"/>
    </row>
    <row r="234" spans="1:9">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c r="A237" s="795"/>
      <c r="B237" s="795"/>
      <c r="D237" s="1859" t="s">
        <v>1285</v>
      </c>
      <c r="E237" s="1859"/>
      <c r="F237" s="1859"/>
      <c r="I237" s="1674" t="s">
        <v>2347</v>
      </c>
    </row>
    <row r="238" spans="1:9">
      <c r="A238" s="795"/>
      <c r="B238" s="795"/>
      <c r="D238" s="1859"/>
      <c r="E238" s="1859"/>
      <c r="F238" s="1859"/>
    </row>
    <row r="239" spans="1:9">
      <c r="A239" s="795"/>
      <c r="B239" s="795"/>
      <c r="D239" s="1859"/>
      <c r="E239" s="1859"/>
      <c r="F239" s="1859"/>
    </row>
    <row r="240" spans="1:9">
      <c r="A240" s="795"/>
      <c r="B240" s="795"/>
      <c r="D240" s="1859"/>
      <c r="E240" s="1859"/>
      <c r="F240" s="1859"/>
    </row>
    <row r="241" spans="1:9">
      <c r="A241" s="795"/>
      <c r="B241" s="795"/>
      <c r="D241" s="1859"/>
      <c r="E241" s="1859"/>
      <c r="F241" s="1859"/>
    </row>
    <row r="242" spans="1:9">
      <c r="A242" s="795"/>
      <c r="B242" s="795"/>
      <c r="D242" s="798"/>
      <c r="E242" s="798"/>
      <c r="F242" s="798"/>
    </row>
    <row r="243" spans="1:9">
      <c r="A243" s="795"/>
      <c r="B243" s="796" t="s">
        <v>2602</v>
      </c>
      <c r="D243" s="1935" t="s">
        <v>2186</v>
      </c>
      <c r="E243" s="1935"/>
      <c r="F243" s="1935"/>
      <c r="I243" s="1674" t="s">
        <v>2386</v>
      </c>
    </row>
    <row r="244" spans="1:9">
      <c r="A244" s="795"/>
      <c r="B244" s="795"/>
      <c r="D244" s="1935"/>
      <c r="E244" s="1935"/>
      <c r="F244" s="1935"/>
    </row>
    <row r="245" spans="1:9">
      <c r="A245" s="795"/>
      <c r="B245" s="795"/>
      <c r="D245" s="1935"/>
      <c r="E245" s="1935"/>
      <c r="F245" s="1935"/>
    </row>
    <row r="246" spans="1:9">
      <c r="A246" s="795"/>
      <c r="B246" s="795"/>
      <c r="E246" s="1806" t="s">
        <v>2485</v>
      </c>
    </row>
    <row r="247" spans="1:9">
      <c r="A247" s="795"/>
      <c r="B247" s="795"/>
      <c r="D247" s="798"/>
      <c r="E247" s="798"/>
      <c r="F247" s="798"/>
    </row>
    <row r="248" spans="1:9" ht="14.5" customHeight="1">
      <c r="A248" s="795"/>
      <c r="B248" s="796" t="s">
        <v>2602</v>
      </c>
      <c r="D248" s="1935" t="s">
        <v>1288</v>
      </c>
      <c r="E248" s="1935"/>
      <c r="F248" s="1935"/>
      <c r="I248" s="1674" t="s">
        <v>2406</v>
      </c>
    </row>
    <row r="249" spans="1:9">
      <c r="A249" s="795"/>
      <c r="B249" s="795"/>
      <c r="D249" s="1935"/>
      <c r="E249" s="1935"/>
      <c r="F249" s="1935"/>
    </row>
    <row r="250" spans="1:9">
      <c r="A250" s="795"/>
      <c r="B250" s="795"/>
      <c r="D250" s="1935"/>
      <c r="E250" s="1935"/>
      <c r="F250" s="1935"/>
    </row>
    <row r="251" spans="1:9">
      <c r="A251" s="795"/>
      <c r="B251" s="795"/>
      <c r="D251" s="1935"/>
      <c r="E251" s="1935"/>
      <c r="F251" s="1935"/>
    </row>
    <row r="252" spans="1:9">
      <c r="A252" s="795"/>
      <c r="B252" s="795"/>
      <c r="D252" s="1935"/>
      <c r="E252" s="1935"/>
      <c r="F252" s="1935"/>
    </row>
    <row r="253" spans="1:9">
      <c r="A253" s="795"/>
      <c r="B253" s="795"/>
      <c r="D253" s="1625"/>
      <c r="E253" s="1625"/>
      <c r="F253" s="1625"/>
    </row>
    <row r="254" spans="1:9">
      <c r="A254" s="795"/>
      <c r="B254" s="796" t="s">
        <v>2672</v>
      </c>
      <c r="D254" s="1624" t="s">
        <v>2184</v>
      </c>
      <c r="E254" s="1625"/>
      <c r="F254" s="1625"/>
      <c r="I254" s="1674" t="s">
        <v>2385</v>
      </c>
    </row>
    <row r="255" spans="1:9">
      <c r="A255" s="795"/>
      <c r="B255" s="795"/>
      <c r="E255" s="1806" t="s">
        <v>2486</v>
      </c>
    </row>
    <row r="256" spans="1:9">
      <c r="D256" s="798"/>
      <c r="E256" s="798"/>
      <c r="F256" s="798"/>
    </row>
    <row r="257" spans="1:9">
      <c r="A257" s="795"/>
      <c r="B257" s="796" t="s">
        <v>2672</v>
      </c>
      <c r="D257" s="1859" t="s">
        <v>1287</v>
      </c>
      <c r="E257" s="1859"/>
      <c r="F257" s="1859"/>
    </row>
    <row r="258" spans="1:9">
      <c r="A258" s="795"/>
      <c r="B258" s="795"/>
      <c r="D258" s="1859"/>
      <c r="E258" s="1859"/>
      <c r="F258" s="1859"/>
    </row>
    <row r="259" spans="1:9">
      <c r="D259" s="819"/>
    </row>
    <row r="260" spans="1:9">
      <c r="A260" s="1841" t="s">
        <v>1161</v>
      </c>
      <c r="B260" s="1841"/>
      <c r="C260" s="1841"/>
      <c r="D260" s="1841"/>
      <c r="E260" s="1841"/>
      <c r="F260" s="1841"/>
      <c r="G260" s="1841"/>
      <c r="H260" s="1749"/>
      <c r="I260" s="1750"/>
    </row>
    <row r="261" spans="1:9">
      <c r="D261" s="819"/>
    </row>
    <row r="262" spans="1:9">
      <c r="C262" s="805"/>
      <c r="D262" s="1858" t="s">
        <v>1290</v>
      </c>
      <c r="E262" s="1858"/>
      <c r="F262" s="1858"/>
    </row>
    <row r="263" spans="1:9">
      <c r="A263" s="791"/>
      <c r="B263" s="791"/>
      <c r="C263" s="791"/>
      <c r="D263" s="798"/>
      <c r="E263" s="798"/>
      <c r="F263" s="798"/>
    </row>
    <row r="264" spans="1:9">
      <c r="A264" s="793"/>
      <c r="B264" s="793"/>
      <c r="C264" s="793"/>
      <c r="D264" s="1858" t="s">
        <v>275</v>
      </c>
      <c r="E264" s="1858"/>
      <c r="F264" s="1858"/>
      <c r="I264" s="1674" t="s">
        <v>2387</v>
      </c>
    </row>
    <row r="265" spans="1:9" ht="14.5" customHeight="1">
      <c r="A265" s="795"/>
      <c r="B265" s="796" t="s">
        <v>2672</v>
      </c>
      <c r="D265" s="1937" t="s">
        <v>1397</v>
      </c>
      <c r="E265" s="1937"/>
      <c r="F265" s="1937"/>
    </row>
    <row r="266" spans="1:9">
      <c r="D266" s="1937"/>
      <c r="E266" s="1937"/>
      <c r="F266" s="1937"/>
    </row>
    <row r="267" spans="1:9">
      <c r="E267" s="1806" t="s">
        <v>2487</v>
      </c>
    </row>
    <row r="268" spans="1:9">
      <c r="D268" s="798"/>
      <c r="E268" s="798"/>
      <c r="F268" s="798"/>
    </row>
    <row r="269" spans="1:9" ht="14.5" customHeight="1">
      <c r="A269" s="795"/>
      <c r="B269" s="796" t="s">
        <v>2602</v>
      </c>
      <c r="D269" s="1935" t="s">
        <v>2185</v>
      </c>
      <c r="E269" s="1935"/>
      <c r="F269" s="1935"/>
      <c r="I269" s="1674" t="s">
        <v>2407</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c r="A276" s="795"/>
      <c r="B276" s="796" t="s">
        <v>2602</v>
      </c>
      <c r="D276" s="1859" t="s">
        <v>1293</v>
      </c>
      <c r="E276" s="1859"/>
      <c r="F276" s="1859"/>
    </row>
    <row r="277" spans="1:9">
      <c r="D277" s="1859"/>
      <c r="E277" s="1859"/>
      <c r="F277" s="1859"/>
    </row>
    <row r="278" spans="1:9">
      <c r="D278" s="1859"/>
      <c r="E278" s="1859"/>
      <c r="F278" s="1859"/>
    </row>
    <row r="279" spans="1:9">
      <c r="D279" s="820"/>
      <c r="E279" s="798"/>
      <c r="F279" s="798"/>
    </row>
    <row r="280" spans="1:9">
      <c r="A280" s="1841" t="s">
        <v>1162</v>
      </c>
      <c r="B280" s="1841"/>
      <c r="C280" s="1841"/>
      <c r="D280" s="1841"/>
      <c r="E280" s="1841"/>
      <c r="F280" s="1841"/>
      <c r="G280" s="1841"/>
      <c r="H280" s="1749"/>
      <c r="I280" s="1750"/>
    </row>
    <row r="281" spans="1:9">
      <c r="D281" s="820"/>
      <c r="E281" s="798"/>
      <c r="F281" s="798"/>
    </row>
    <row r="282" spans="1:9">
      <c r="C282" s="791"/>
      <c r="D282" s="1927" t="s">
        <v>1295</v>
      </c>
      <c r="E282" s="1927"/>
      <c r="F282" s="1927"/>
    </row>
    <row r="283" spans="1:9">
      <c r="C283" s="791"/>
      <c r="D283" s="1927"/>
      <c r="E283" s="1927"/>
      <c r="F283" s="1927"/>
    </row>
    <row r="284" spans="1:9">
      <c r="A284" s="793"/>
      <c r="B284" s="793"/>
      <c r="C284" s="793"/>
      <c r="D284" s="620"/>
      <c r="E284" s="670"/>
      <c r="F284" s="670"/>
    </row>
    <row r="285" spans="1:9">
      <c r="C285" s="793"/>
      <c r="D285" s="1858" t="s">
        <v>215</v>
      </c>
      <c r="E285" s="1858"/>
      <c r="F285" s="1858"/>
    </row>
    <row r="286" spans="1:9" ht="15.75" customHeight="1">
      <c r="A286" s="795"/>
      <c r="B286" s="795"/>
      <c r="D286" s="1953" t="s">
        <v>1296</v>
      </c>
      <c r="E286" s="1953"/>
      <c r="F286" s="1953"/>
    </row>
    <row r="287" spans="1:9">
      <c r="E287" s="798"/>
      <c r="F287" s="798"/>
    </row>
    <row r="288" spans="1:9">
      <c r="A288" s="795"/>
      <c r="B288" s="796" t="s">
        <v>2602</v>
      </c>
      <c r="D288" s="1859" t="s">
        <v>1297</v>
      </c>
      <c r="E288" s="1859"/>
      <c r="F288" s="1859"/>
      <c r="I288" s="1674" t="s">
        <v>2349</v>
      </c>
    </row>
    <row r="289" spans="1:9">
      <c r="A289" s="795"/>
      <c r="B289" s="795"/>
      <c r="D289" s="1859"/>
      <c r="E289" s="1859"/>
      <c r="F289" s="1859"/>
    </row>
    <row r="290" spans="1:9">
      <c r="D290" s="798"/>
      <c r="E290" s="798"/>
      <c r="F290" s="798"/>
    </row>
    <row r="291" spans="1:9">
      <c r="A291" s="795"/>
      <c r="B291" s="796" t="s">
        <v>2602</v>
      </c>
      <c r="D291" s="1935" t="s">
        <v>1298</v>
      </c>
      <c r="E291" s="1935"/>
      <c r="F291" s="1935"/>
      <c r="I291" s="1674" t="s">
        <v>2349</v>
      </c>
    </row>
    <row r="292" spans="1:9">
      <c r="A292" s="795"/>
      <c r="B292" s="795"/>
      <c r="D292" s="1935"/>
      <c r="E292" s="1935"/>
      <c r="F292" s="1935"/>
    </row>
    <row r="293" spans="1:9">
      <c r="A293" s="795"/>
      <c r="B293" s="795"/>
      <c r="D293" s="1935"/>
      <c r="E293" s="1935"/>
      <c r="F293" s="1935"/>
    </row>
    <row r="294" spans="1:9">
      <c r="D294" s="798"/>
      <c r="E294" s="798"/>
      <c r="F294" s="798"/>
    </row>
    <row r="295" spans="1:9">
      <c r="A295" s="795"/>
      <c r="B295" s="796" t="s">
        <v>2602</v>
      </c>
      <c r="D295" s="1859" t="s">
        <v>1299</v>
      </c>
      <c r="E295" s="1859"/>
      <c r="F295" s="1859"/>
      <c r="I295" s="1674" t="s">
        <v>2349</v>
      </c>
    </row>
    <row r="296" spans="1:9">
      <c r="A296" s="795"/>
      <c r="B296" s="795"/>
      <c r="D296" s="1859"/>
      <c r="E296" s="1859"/>
      <c r="F296" s="1859"/>
    </row>
    <row r="297" spans="1:9">
      <c r="A297" s="814"/>
      <c r="B297" s="814"/>
      <c r="E297" s="798"/>
      <c r="F297" s="798"/>
    </row>
    <row r="298" spans="1:9">
      <c r="A298" s="1841" t="s">
        <v>1163</v>
      </c>
      <c r="B298" s="1841"/>
      <c r="C298" s="1841"/>
      <c r="D298" s="1841"/>
      <c r="E298" s="1841"/>
      <c r="F298" s="1841"/>
      <c r="G298" s="1841"/>
      <c r="H298" s="1749"/>
      <c r="I298" s="1750"/>
    </row>
    <row r="299" spans="1:9">
      <c r="A299" s="814"/>
      <c r="B299" s="814"/>
      <c r="D299" s="798"/>
      <c r="E299" s="798"/>
      <c r="F299" s="798"/>
    </row>
    <row r="300" spans="1:9">
      <c r="C300" s="814"/>
      <c r="D300" s="1858" t="s">
        <v>719</v>
      </c>
      <c r="E300" s="1858"/>
      <c r="F300" s="1858"/>
    </row>
    <row r="301" spans="1:9">
      <c r="C301" s="814"/>
      <c r="D301" s="1861" t="s">
        <v>1300</v>
      </c>
      <c r="E301" s="1861"/>
      <c r="F301" s="1861"/>
    </row>
    <row r="302" spans="1:9">
      <c r="C302" s="814"/>
      <c r="D302" s="821"/>
    </row>
    <row r="303" spans="1:9">
      <c r="A303" s="799"/>
      <c r="B303" s="796" t="s">
        <v>2602</v>
      </c>
      <c r="D303" s="1861" t="s">
        <v>1301</v>
      </c>
      <c r="E303" s="1861"/>
      <c r="F303" s="1861"/>
      <c r="I303" s="1674" t="s">
        <v>2350</v>
      </c>
    </row>
    <row r="304" spans="1:9" s="789" customFormat="1">
      <c r="A304" s="803"/>
      <c r="B304" s="803"/>
      <c r="C304" s="799"/>
      <c r="D304" s="822"/>
      <c r="E304" s="823"/>
      <c r="F304" s="823"/>
      <c r="G304" s="800"/>
      <c r="I304" s="1733"/>
    </row>
    <row r="305" spans="1:9" s="789" customFormat="1" ht="13.75" customHeight="1">
      <c r="A305" s="799"/>
      <c r="B305" s="796" t="s">
        <v>2602</v>
      </c>
      <c r="C305" s="799"/>
      <c r="D305" s="1956" t="s">
        <v>1425</v>
      </c>
      <c r="E305" s="1956"/>
      <c r="F305" s="1956"/>
      <c r="G305" s="800"/>
      <c r="I305" s="1733" t="s">
        <v>2350</v>
      </c>
    </row>
    <row r="306" spans="1:9" s="789" customFormat="1">
      <c r="A306" s="803"/>
      <c r="B306" s="803"/>
      <c r="C306" s="799"/>
      <c r="D306" s="1956"/>
      <c r="E306" s="1956"/>
      <c r="F306" s="1956"/>
      <c r="G306" s="800"/>
      <c r="I306" s="1733"/>
    </row>
    <row r="307" spans="1:9" s="789" customFormat="1">
      <c r="A307" s="803"/>
      <c r="B307" s="803"/>
      <c r="C307" s="799"/>
      <c r="D307" s="1956"/>
      <c r="E307" s="1956"/>
      <c r="F307" s="1956"/>
      <c r="G307" s="800"/>
      <c r="I307" s="1733"/>
    </row>
    <row r="308" spans="1:9" s="789" customFormat="1">
      <c r="A308" s="803"/>
      <c r="B308" s="803"/>
      <c r="C308" s="799"/>
      <c r="D308" s="1956"/>
      <c r="E308" s="1956"/>
      <c r="F308" s="1956"/>
      <c r="G308" s="800"/>
      <c r="I308" s="1733"/>
    </row>
    <row r="309" spans="1:9" s="789" customFormat="1">
      <c r="A309" s="803"/>
      <c r="B309" s="803"/>
      <c r="C309" s="799"/>
      <c r="D309" s="1956"/>
      <c r="E309" s="1956"/>
      <c r="F309" s="1956"/>
      <c r="G309" s="800"/>
      <c r="I309" s="1733"/>
    </row>
    <row r="310" spans="1:9" s="789" customFormat="1">
      <c r="A310" s="803"/>
      <c r="B310" s="803"/>
      <c r="C310" s="799"/>
      <c r="D310" s="822"/>
      <c r="E310" s="823"/>
      <c r="F310" s="823"/>
      <c r="G310" s="800"/>
      <c r="I310" s="1733"/>
    </row>
    <row r="311" spans="1:9" s="789" customFormat="1" ht="13.75" customHeight="1">
      <c r="A311" s="799"/>
      <c r="B311" s="796" t="s">
        <v>2602</v>
      </c>
      <c r="C311" s="799"/>
      <c r="D311" s="1956" t="s">
        <v>1303</v>
      </c>
      <c r="E311" s="1956"/>
      <c r="F311" s="1956"/>
      <c r="G311" s="800"/>
      <c r="I311" s="1733" t="s">
        <v>2350</v>
      </c>
    </row>
    <row r="312" spans="1:9" s="789" customFormat="1">
      <c r="A312" s="799"/>
      <c r="B312" s="799"/>
      <c r="C312" s="799"/>
      <c r="D312" s="1956"/>
      <c r="E312" s="1956"/>
      <c r="F312" s="1956"/>
      <c r="G312" s="800"/>
      <c r="I312" s="1733"/>
    </row>
    <row r="313" spans="1:9" s="789" customFormat="1">
      <c r="A313" s="803"/>
      <c r="B313" s="803"/>
      <c r="C313" s="799"/>
      <c r="D313" s="822"/>
      <c r="E313" s="823"/>
      <c r="F313" s="823"/>
      <c r="G313" s="800"/>
      <c r="I313" s="1733"/>
    </row>
    <row r="314" spans="1:9">
      <c r="A314" s="799"/>
      <c r="B314" s="796" t="s">
        <v>2602</v>
      </c>
      <c r="D314" s="1861" t="s">
        <v>1304</v>
      </c>
      <c r="E314" s="1861"/>
      <c r="F314" s="1861"/>
      <c r="I314" s="1674" t="s">
        <v>2336</v>
      </c>
    </row>
    <row r="315" spans="1:9">
      <c r="E315" s="798"/>
      <c r="F315" s="798"/>
    </row>
    <row r="316" spans="1:9">
      <c r="A316" s="795"/>
      <c r="B316" s="796" t="s">
        <v>2602</v>
      </c>
      <c r="D316" s="1935" t="s">
        <v>1451</v>
      </c>
      <c r="E316" s="1935"/>
      <c r="F316" s="1935"/>
      <c r="I316" s="1674" t="s">
        <v>2351</v>
      </c>
    </row>
    <row r="317" spans="1:9">
      <c r="A317" s="795"/>
      <c r="B317" s="795"/>
      <c r="D317" s="1935"/>
      <c r="E317" s="1935"/>
      <c r="F317" s="1935"/>
    </row>
    <row r="318" spans="1:9">
      <c r="A318" s="795"/>
      <c r="B318" s="795"/>
      <c r="D318" s="1935"/>
      <c r="E318" s="1935"/>
      <c r="F318" s="1935"/>
    </row>
    <row r="319" spans="1:9">
      <c r="A319" s="795"/>
      <c r="B319" s="795"/>
      <c r="D319" s="1935"/>
      <c r="E319" s="1935"/>
      <c r="F319" s="1935"/>
    </row>
    <row r="320" spans="1:9">
      <c r="A320" s="795"/>
      <c r="B320" s="795"/>
      <c r="D320" s="1935"/>
      <c r="E320" s="1935"/>
      <c r="F320" s="1935"/>
    </row>
    <row r="321" spans="1:9">
      <c r="A321" s="795"/>
      <c r="B321" s="795"/>
      <c r="D321" s="1935"/>
      <c r="E321" s="1935"/>
      <c r="F321" s="1935"/>
    </row>
    <row r="322" spans="1:9">
      <c r="A322" s="795"/>
      <c r="B322" s="795"/>
      <c r="D322" s="1935"/>
      <c r="E322" s="1935"/>
      <c r="F322" s="1935"/>
    </row>
    <row r="323" spans="1:9">
      <c r="A323" s="795"/>
      <c r="B323" s="795"/>
      <c r="D323" s="1935"/>
      <c r="E323" s="1935"/>
      <c r="F323" s="1935"/>
    </row>
    <row r="324" spans="1:9">
      <c r="A324" s="795"/>
      <c r="B324" s="795"/>
      <c r="D324" s="1935"/>
      <c r="E324" s="1935"/>
      <c r="F324" s="1935"/>
    </row>
    <row r="325" spans="1:9">
      <c r="A325" s="795"/>
      <c r="B325" s="795"/>
      <c r="D325" s="1935"/>
      <c r="E325" s="1935"/>
      <c r="F325" s="1935"/>
    </row>
    <row r="326" spans="1:9">
      <c r="A326" s="795"/>
      <c r="B326" s="795"/>
      <c r="D326" s="1935"/>
      <c r="E326" s="1935"/>
      <c r="F326" s="1935"/>
    </row>
    <row r="327" spans="1:9">
      <c r="A327" s="795"/>
      <c r="B327" s="795"/>
      <c r="D327" s="1935"/>
      <c r="E327" s="1935"/>
      <c r="F327" s="1935"/>
    </row>
    <row r="328" spans="1:9">
      <c r="A328" s="795"/>
      <c r="B328" s="795"/>
      <c r="D328" s="1935"/>
      <c r="E328" s="1935"/>
      <c r="F328" s="1935"/>
    </row>
    <row r="329" spans="1:9">
      <c r="A329" s="795"/>
      <c r="B329" s="795"/>
      <c r="D329" s="1935"/>
      <c r="E329" s="1935"/>
      <c r="F329" s="1935"/>
    </row>
    <row r="330" spans="1:9">
      <c r="A330" s="795"/>
      <c r="B330" s="795"/>
      <c r="D330" s="1935"/>
      <c r="E330" s="1935"/>
      <c r="F330" s="1935"/>
    </row>
    <row r="331" spans="1:9">
      <c r="D331" s="798"/>
      <c r="E331" s="798"/>
      <c r="F331" s="798"/>
    </row>
    <row r="332" spans="1:9">
      <c r="A332" s="795"/>
      <c r="B332" s="796" t="s">
        <v>2602</v>
      </c>
      <c r="D332" s="1935" t="s">
        <v>1306</v>
      </c>
      <c r="E332" s="1935"/>
      <c r="F332" s="1935"/>
      <c r="I332" s="1674" t="s">
        <v>2351</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2602</v>
      </c>
      <c r="D342" s="1859" t="s">
        <v>2492</v>
      </c>
      <c r="E342" s="1859"/>
      <c r="F342" s="1859"/>
      <c r="I342" s="1674" t="s">
        <v>2388</v>
      </c>
    </row>
    <row r="343" spans="1:9">
      <c r="D343" s="1859"/>
      <c r="E343" s="1859"/>
      <c r="F343" s="1859"/>
      <c r="G343" s="788"/>
    </row>
    <row r="344" spans="1:9">
      <c r="D344" s="1859"/>
      <c r="E344" s="1859"/>
      <c r="F344" s="1859"/>
      <c r="G344" s="788"/>
    </row>
    <row r="345" spans="1:9">
      <c r="D345" s="1859"/>
      <c r="E345" s="1859"/>
      <c r="F345" s="1859"/>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6" thickBot="1">
      <c r="A349" s="1724"/>
      <c r="B349" s="1724"/>
      <c r="C349" s="1724"/>
      <c r="D349" s="1936" t="s">
        <v>1059</v>
      </c>
      <c r="E349" s="1936"/>
      <c r="F349" s="1936"/>
      <c r="G349" s="1747"/>
      <c r="H349" s="1747"/>
      <c r="I349" s="1748"/>
    </row>
    <row r="350" spans="1:9" ht="13.6" thickTop="1">
      <c r="D350" s="1957" t="s">
        <v>1308</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2602</v>
      </c>
      <c r="C353" s="827"/>
      <c r="D353" s="1861" t="s">
        <v>2490</v>
      </c>
      <c r="E353" s="1861"/>
      <c r="F353" s="1861"/>
      <c r="I353" s="1962" t="s">
        <v>2403</v>
      </c>
    </row>
    <row r="354" spans="1:9" ht="12.75" customHeight="1">
      <c r="D354" s="1807"/>
      <c r="E354" s="1631" t="s">
        <v>2489</v>
      </c>
      <c r="F354" s="1807"/>
      <c r="I354" s="1963"/>
    </row>
    <row r="355" spans="1:9" ht="12.6">
      <c r="D355" s="1935" t="s">
        <v>1449</v>
      </c>
      <c r="E355" s="1935"/>
      <c r="F355" s="1935"/>
      <c r="I355" s="1963"/>
    </row>
    <row r="356" spans="1:9" ht="12.6">
      <c r="D356" s="1935"/>
      <c r="E356" s="1935"/>
      <c r="F356" s="1935"/>
      <c r="I356" s="1963"/>
    </row>
    <row r="357" spans="1:9" ht="12.6">
      <c r="D357" s="1935"/>
      <c r="E357" s="1935"/>
      <c r="F357" s="1935"/>
      <c r="I357" s="1964"/>
    </row>
    <row r="358" spans="1:9">
      <c r="A358" s="795"/>
      <c r="B358" s="796" t="s">
        <v>2602</v>
      </c>
      <c r="C358" s="812"/>
      <c r="D358" s="1855" t="s">
        <v>1309</v>
      </c>
      <c r="E358" s="1855"/>
      <c r="F358" s="1855"/>
      <c r="G358" s="788"/>
      <c r="I358" s="617"/>
    </row>
    <row r="359" spans="1:9">
      <c r="A359" s="812"/>
      <c r="B359" s="812"/>
      <c r="C359" s="812"/>
      <c r="D359" s="784"/>
      <c r="E359" s="784"/>
      <c r="F359" s="798"/>
      <c r="G359" s="788"/>
    </row>
    <row r="360" spans="1:9">
      <c r="A360" s="812"/>
      <c r="B360" s="796" t="s">
        <v>2602</v>
      </c>
      <c r="C360" s="812"/>
      <c r="D360" s="1850" t="s">
        <v>1428</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5" customHeight="1">
      <c r="A373" s="812"/>
      <c r="B373" s="796" t="s">
        <v>2602</v>
      </c>
      <c r="C373" s="812"/>
      <c r="D373" s="1965" t="s">
        <v>1429</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2602</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2602</v>
      </c>
      <c r="C385" s="812"/>
      <c r="D385" s="1848" t="s">
        <v>1311</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1312</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35" customHeight="1">
      <c r="A398" s="812"/>
      <c r="B398" s="812"/>
      <c r="C398" s="812"/>
      <c r="D398" s="1848"/>
      <c r="E398" s="1848"/>
      <c r="F398" s="1848"/>
      <c r="G398" s="788"/>
    </row>
    <row r="399" spans="1:7" ht="13.75" customHeight="1">
      <c r="A399" s="812"/>
      <c r="B399" s="812"/>
      <c r="C399" s="812"/>
      <c r="D399" s="1849" t="s">
        <v>1313</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2602</v>
      </c>
      <c r="C418" s="812"/>
      <c r="D418" s="1849" t="s">
        <v>1314</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5" customHeight="1">
      <c r="A421" s="795"/>
      <c r="B421" s="796" t="s">
        <v>2602</v>
      </c>
      <c r="D421" s="1849" t="s">
        <v>2389</v>
      </c>
      <c r="E421" s="1849"/>
      <c r="F421" s="1849"/>
    </row>
    <row r="422" spans="1:7" ht="14.5" customHeight="1">
      <c r="A422" s="795"/>
      <c r="D422" s="1849"/>
      <c r="E422" s="1849"/>
      <c r="F422" s="1849"/>
    </row>
    <row r="423" spans="1:7" ht="14.5" customHeight="1">
      <c r="A423" s="795"/>
      <c r="D423" s="1849"/>
      <c r="E423" s="1849"/>
      <c r="F423" s="1849"/>
    </row>
    <row r="424" spans="1:7" ht="14.5" customHeight="1">
      <c r="A424" s="795"/>
      <c r="D424" s="1849"/>
      <c r="E424" s="1849"/>
      <c r="F424" s="1849"/>
    </row>
    <row r="425" spans="1:7" ht="14.5" customHeight="1">
      <c r="A425" s="795"/>
      <c r="D425" s="1849"/>
      <c r="E425" s="1849"/>
      <c r="F425" s="1849"/>
    </row>
    <row r="426" spans="1:7" ht="14.5" customHeight="1">
      <c r="A426" s="795"/>
      <c r="D426" s="876"/>
      <c r="E426" s="876"/>
      <c r="F426" s="876"/>
    </row>
    <row r="427" spans="1:7" ht="13.75" customHeight="1">
      <c r="A427" s="795"/>
      <c r="B427" s="796" t="s">
        <v>2602</v>
      </c>
      <c r="C427" s="812"/>
      <c r="D427" s="1850" t="s">
        <v>1452</v>
      </c>
      <c r="E427" s="1850"/>
      <c r="F427" s="1850"/>
      <c r="G427" s="788"/>
    </row>
    <row r="428" spans="1:7">
      <c r="A428" s="826"/>
      <c r="B428" s="826"/>
      <c r="C428" s="812"/>
      <c r="D428" s="1850"/>
      <c r="E428" s="1850"/>
      <c r="F428" s="1850"/>
      <c r="G428" s="788"/>
    </row>
    <row r="429" spans="1:7">
      <c r="A429" s="826"/>
      <c r="B429" s="826"/>
      <c r="C429" s="812"/>
      <c r="D429" s="1850"/>
      <c r="E429" s="1850"/>
      <c r="F429" s="1850"/>
      <c r="G429" s="788"/>
    </row>
    <row r="430" spans="1:7">
      <c r="A430" s="826"/>
      <c r="B430" s="826"/>
      <c r="C430" s="812"/>
      <c r="D430" s="1850"/>
      <c r="E430" s="1850"/>
      <c r="F430" s="1850"/>
      <c r="G430" s="788"/>
    </row>
    <row r="431" spans="1:7" ht="15.75" customHeight="1">
      <c r="A431" s="826"/>
      <c r="B431" s="826"/>
      <c r="C431" s="812"/>
      <c r="D431" s="1958" t="s">
        <v>1500</v>
      </c>
      <c r="E431" s="1850"/>
      <c r="F431" s="1850"/>
      <c r="G431" s="788"/>
    </row>
    <row r="432" spans="1:7">
      <c r="D432" s="798"/>
      <c r="E432" s="798"/>
      <c r="F432" s="798"/>
      <c r="G432" s="788"/>
    </row>
    <row r="433" spans="1:7">
      <c r="A433" s="795"/>
      <c r="B433" s="796" t="s">
        <v>2602</v>
      </c>
      <c r="C433" s="827"/>
      <c r="D433" s="1859" t="s">
        <v>1316</v>
      </c>
      <c r="E433" s="1859"/>
      <c r="F433" s="1859"/>
      <c r="G433" s="788"/>
    </row>
    <row r="434" spans="1:7">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700000000000003" customHeight="1">
      <c r="A463" s="786"/>
      <c r="B463" s="786"/>
      <c r="C463" s="786"/>
      <c r="D463" s="1859"/>
      <c r="E463" s="1859"/>
      <c r="F463" s="1859"/>
      <c r="G463" s="828"/>
      <c r="I463" s="1736"/>
    </row>
    <row r="464" spans="1:9">
      <c r="D464" s="798"/>
      <c r="E464" s="798"/>
      <c r="F464" s="798"/>
      <c r="G464" s="788"/>
    </row>
    <row r="465" spans="1:7">
      <c r="A465" s="795"/>
      <c r="B465" s="796" t="s">
        <v>2602</v>
      </c>
      <c r="C465" s="827"/>
      <c r="D465" s="1859" t="s">
        <v>1319</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c r="B469" s="796" t="s">
        <v>2602</v>
      </c>
      <c r="C469" s="795"/>
      <c r="D469" s="1935" t="s">
        <v>1398</v>
      </c>
      <c r="E469" s="1935"/>
      <c r="F469" s="1935"/>
      <c r="G469" s="788"/>
    </row>
    <row r="470" spans="1:7">
      <c r="D470" s="1935"/>
      <c r="E470" s="1935"/>
      <c r="F470" s="1935"/>
      <c r="G470" s="788"/>
    </row>
    <row r="471" spans="1:7">
      <c r="D471" s="798"/>
      <c r="E471" s="798"/>
      <c r="F471" s="798"/>
      <c r="G471" s="788"/>
    </row>
    <row r="472" spans="1:7">
      <c r="B472" s="796" t="s">
        <v>2602</v>
      </c>
      <c r="C472" s="795"/>
      <c r="D472" s="1935" t="s">
        <v>1321</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2602</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2602</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2602</v>
      </c>
      <c r="C484" s="788"/>
      <c r="D484" s="1935"/>
      <c r="E484" s="1935"/>
      <c r="F484" s="1935"/>
      <c r="G484" s="788"/>
    </row>
    <row r="485" spans="1:9">
      <c r="A485" s="788"/>
      <c r="C485" s="788"/>
      <c r="D485" s="1935"/>
      <c r="E485" s="1935"/>
      <c r="F485" s="1935"/>
      <c r="G485" s="788"/>
    </row>
    <row r="486" spans="1:9">
      <c r="A486" s="788"/>
      <c r="B486" s="796" t="s">
        <v>2602</v>
      </c>
      <c r="C486" s="788"/>
      <c r="D486" s="1935" t="s">
        <v>1322</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2602</v>
      </c>
      <c r="D492" s="1931" t="s">
        <v>1323</v>
      </c>
      <c r="E492" s="1931"/>
      <c r="F492" s="1931"/>
    </row>
    <row r="493" spans="1:9">
      <c r="A493" s="798"/>
      <c r="B493" s="798"/>
    </row>
    <row r="494" spans="1:9">
      <c r="A494" s="1841" t="s">
        <v>1164</v>
      </c>
      <c r="B494" s="1841"/>
      <c r="C494" s="1841"/>
      <c r="D494" s="1841"/>
      <c r="E494" s="1841"/>
      <c r="F494" s="1841"/>
      <c r="G494" s="1841"/>
      <c r="H494" s="1749"/>
      <c r="I494" s="1750"/>
    </row>
    <row r="495" spans="1:9">
      <c r="A495" s="798"/>
      <c r="B495" s="798"/>
    </row>
    <row r="496" spans="1:9">
      <c r="D496" s="1837" t="s">
        <v>948</v>
      </c>
      <c r="E496" s="1837"/>
      <c r="F496" s="1837"/>
    </row>
    <row r="497" spans="1:9" s="789" customFormat="1">
      <c r="A497" s="803"/>
      <c r="B497" s="803"/>
      <c r="C497" s="799"/>
      <c r="D497" s="1838" t="s">
        <v>1324</v>
      </c>
      <c r="E497" s="1838"/>
      <c r="F497" s="1838"/>
      <c r="G497" s="800"/>
      <c r="I497" s="1733"/>
    </row>
    <row r="498" spans="1:9" s="789" customFormat="1">
      <c r="A498" s="803"/>
      <c r="B498" s="803"/>
      <c r="C498" s="799"/>
      <c r="D498" s="785"/>
      <c r="E498" s="670"/>
      <c r="F498" s="670"/>
      <c r="G498" s="800"/>
      <c r="I498" s="1733"/>
    </row>
    <row r="499" spans="1:9" s="789" customFormat="1">
      <c r="A499" s="795"/>
      <c r="B499" s="796" t="s">
        <v>2602</v>
      </c>
      <c r="C499" s="799"/>
      <c r="D499" s="1839" t="s">
        <v>1325</v>
      </c>
      <c r="E499" s="1839"/>
      <c r="F499" s="1839"/>
      <c r="G499" s="800"/>
      <c r="I499" s="1733" t="s">
        <v>2353</v>
      </c>
    </row>
    <row r="500" spans="1:9" s="789" customFormat="1">
      <c r="A500" s="795"/>
      <c r="B500" s="795"/>
      <c r="C500" s="799"/>
      <c r="D500" s="1839"/>
      <c r="E500" s="1839"/>
      <c r="F500" s="1839"/>
      <c r="G500" s="800"/>
      <c r="I500" s="1733"/>
    </row>
    <row r="501" spans="1:9" s="789" customFormat="1">
      <c r="A501" s="795"/>
      <c r="B501" s="795"/>
      <c r="C501" s="799"/>
      <c r="D501" s="783"/>
      <c r="E501" s="670"/>
      <c r="F501" s="670"/>
      <c r="G501" s="800"/>
      <c r="I501" s="1733"/>
    </row>
    <row r="502" spans="1:9" ht="12.75" customHeight="1">
      <c r="B502" s="796" t="s">
        <v>2602</v>
      </c>
      <c r="D502" s="1840" t="s">
        <v>1501</v>
      </c>
      <c r="E502" s="1840"/>
      <c r="F502" s="1840"/>
      <c r="I502" s="1674" t="s">
        <v>2354</v>
      </c>
    </row>
    <row r="503" spans="1:9">
      <c r="A503" s="795"/>
      <c r="D503" s="1840"/>
      <c r="E503" s="1840"/>
      <c r="F503" s="1840"/>
    </row>
    <row r="504" spans="1:9">
      <c r="A504" s="795"/>
      <c r="B504" s="795"/>
      <c r="D504" s="1840"/>
      <c r="E504" s="1840"/>
      <c r="F504" s="1840"/>
    </row>
    <row r="505" spans="1:9">
      <c r="A505" s="795"/>
      <c r="B505" s="795"/>
      <c r="D505" s="1840"/>
      <c r="E505" s="1840"/>
      <c r="F505" s="1840"/>
    </row>
    <row r="506" spans="1:9">
      <c r="A506" s="795"/>
      <c r="D506" s="891"/>
      <c r="E506" s="891"/>
      <c r="F506" s="891"/>
      <c r="G506" s="788"/>
    </row>
    <row r="507" spans="1:9">
      <c r="A507" s="795"/>
      <c r="B507" s="796" t="s">
        <v>2602</v>
      </c>
      <c r="D507" s="1861" t="s">
        <v>1328</v>
      </c>
      <c r="E507" s="1861"/>
      <c r="F507" s="1861"/>
      <c r="G507" s="788"/>
      <c r="I507" s="1674" t="s">
        <v>2355</v>
      </c>
    </row>
    <row r="508" spans="1:9">
      <c r="A508" s="795"/>
      <c r="B508" s="795"/>
      <c r="D508" s="783"/>
      <c r="E508" s="670"/>
      <c r="F508" s="670"/>
      <c r="G508" s="788"/>
    </row>
    <row r="509" spans="1:9">
      <c r="A509" s="795"/>
      <c r="B509" s="796" t="s">
        <v>2602</v>
      </c>
      <c r="D509" s="1859" t="s">
        <v>1329</v>
      </c>
      <c r="E509" s="1859"/>
      <c r="F509" s="1859"/>
      <c r="G509" s="788"/>
      <c r="I509" s="1674" t="s">
        <v>2355</v>
      </c>
    </row>
    <row r="510" spans="1:9">
      <c r="A510" s="795"/>
      <c r="D510" s="1859"/>
      <c r="E510" s="1859"/>
      <c r="F510" s="1859"/>
      <c r="G510" s="788"/>
    </row>
    <row r="511" spans="1:9">
      <c r="A511" s="814"/>
      <c r="B511" s="814"/>
      <c r="D511" s="731"/>
      <c r="E511" s="670"/>
      <c r="F511" s="670"/>
      <c r="G511" s="788"/>
    </row>
    <row r="512" spans="1:9">
      <c r="A512" s="814"/>
      <c r="B512" s="796" t="s">
        <v>2602</v>
      </c>
      <c r="D512" s="1861" t="s">
        <v>1330</v>
      </c>
      <c r="E512" s="1861"/>
      <c r="F512" s="1861"/>
      <c r="G512" s="788"/>
      <c r="I512" s="1674" t="s">
        <v>2410</v>
      </c>
    </row>
    <row r="513" spans="1:9">
      <c r="A513" s="795"/>
      <c r="B513" s="795"/>
      <c r="D513" s="798"/>
    </row>
    <row r="514" spans="1:9">
      <c r="A514" s="1841" t="s">
        <v>1165</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851</v>
      </c>
      <c r="E516" s="1966"/>
      <c r="F516" s="1966"/>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2672</v>
      </c>
      <c r="C520" s="797"/>
      <c r="D520" s="1833" t="s">
        <v>2187</v>
      </c>
      <c r="E520" s="1833"/>
      <c r="F520" s="1833"/>
      <c r="G520" s="670"/>
      <c r="I520" s="620" t="s">
        <v>2390</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2672</v>
      </c>
      <c r="C523" s="802"/>
      <c r="D523" s="1805" t="s">
        <v>2493</v>
      </c>
      <c r="E523" s="876"/>
      <c r="F523" s="876"/>
      <c r="G523" s="670"/>
      <c r="I523" s="620" t="s">
        <v>2356</v>
      </c>
    </row>
    <row r="524" spans="1:9" s="1669" customFormat="1">
      <c r="A524" s="793"/>
      <c r="B524" s="1808" t="s">
        <v>2602</v>
      </c>
      <c r="C524" s="802"/>
      <c r="D524" s="876"/>
      <c r="E524" s="1631" t="s">
        <v>2494</v>
      </c>
      <c r="F524" s="1671"/>
      <c r="G524" s="670"/>
      <c r="I524" s="620"/>
    </row>
    <row r="525" spans="1:9" s="720" customFormat="1">
      <c r="A525" s="793"/>
      <c r="B525" s="793"/>
      <c r="C525" s="802"/>
      <c r="D525" s="1952" t="s">
        <v>1203</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1" customHeight="1">
      <c r="A529" s="793"/>
      <c r="B529" s="796" t="s">
        <v>2602</v>
      </c>
      <c r="C529" s="797"/>
      <c r="D529" s="1943" t="s">
        <v>1229</v>
      </c>
      <c r="E529" s="1943"/>
      <c r="F529" s="1943"/>
      <c r="G529" s="670"/>
      <c r="I529" s="620" t="s">
        <v>2356</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1166</v>
      </c>
      <c r="B532" s="1841"/>
      <c r="C532" s="1841"/>
      <c r="D532" s="1841"/>
      <c r="E532" s="1841"/>
      <c r="F532" s="1841"/>
      <c r="G532" s="1841"/>
      <c r="H532" s="1749"/>
      <c r="I532" s="1750"/>
    </row>
    <row r="533" spans="1:9">
      <c r="A533" s="798"/>
      <c r="B533" s="798"/>
      <c r="C533" s="827"/>
      <c r="F533" s="834"/>
    </row>
    <row r="534" spans="1:9">
      <c r="B534" s="1928" t="s">
        <v>470</v>
      </c>
      <c r="C534" s="1928"/>
      <c r="D534" s="1928"/>
      <c r="E534" s="1928"/>
      <c r="F534" s="1928"/>
    </row>
    <row r="535" spans="1:9">
      <c r="A535" s="798"/>
      <c r="B535" s="798"/>
      <c r="C535" s="827"/>
      <c r="D535" s="798"/>
      <c r="F535" s="798"/>
    </row>
    <row r="536" spans="1:9">
      <c r="A536" s="1891" t="s">
        <v>1167</v>
      </c>
      <c r="B536" s="1891"/>
      <c r="C536" s="1891"/>
      <c r="D536" s="1891"/>
      <c r="E536" s="1891"/>
      <c r="F536" s="1891"/>
      <c r="G536" s="1891"/>
      <c r="H536" s="1749"/>
      <c r="I536" s="1750"/>
    </row>
    <row r="537" spans="1:9">
      <c r="A537" s="798"/>
      <c r="B537" s="798"/>
      <c r="C537" s="827"/>
      <c r="D537" s="798"/>
      <c r="F537" s="798"/>
    </row>
    <row r="538" spans="1:9">
      <c r="C538" s="827"/>
      <c r="D538" s="1858" t="s">
        <v>720</v>
      </c>
      <c r="E538" s="1858"/>
      <c r="F538" s="1858"/>
    </row>
    <row r="539" spans="1:9">
      <c r="C539" s="827"/>
      <c r="D539" s="1861" t="s">
        <v>1224</v>
      </c>
      <c r="E539" s="1861"/>
      <c r="F539" s="1861"/>
    </row>
    <row r="540" spans="1:9">
      <c r="C540" s="827"/>
      <c r="D540" s="783"/>
      <c r="E540" s="783"/>
      <c r="F540" s="783"/>
    </row>
    <row r="541" spans="1:9" ht="13.75" customHeight="1">
      <c r="A541" s="795"/>
      <c r="B541" s="796" t="s">
        <v>2672</v>
      </c>
      <c r="C541" s="827"/>
      <c r="D541" s="1861" t="s">
        <v>949</v>
      </c>
      <c r="E541" s="1861"/>
      <c r="F541" s="1861"/>
      <c r="G541" s="788"/>
      <c r="I541" s="1674" t="s">
        <v>2408</v>
      </c>
    </row>
    <row r="542" spans="1:9" ht="13.75" customHeight="1">
      <c r="A542" s="827"/>
      <c r="B542" s="827"/>
      <c r="C542" s="827"/>
      <c r="D542" s="783"/>
      <c r="E542" s="616"/>
      <c r="F542" s="616"/>
      <c r="G542" s="788"/>
    </row>
    <row r="543" spans="1:9">
      <c r="A543" s="795"/>
      <c r="B543" s="796" t="s">
        <v>2672</v>
      </c>
      <c r="C543" s="827"/>
      <c r="D543" s="1859" t="s">
        <v>1225</v>
      </c>
      <c r="E543" s="1859"/>
      <c r="F543" s="1859"/>
      <c r="G543" s="788"/>
      <c r="I543" s="1674" t="s">
        <v>2408</v>
      </c>
    </row>
    <row r="544" spans="1:9">
      <c r="A544" s="827"/>
      <c r="B544" s="827"/>
      <c r="C544" s="827"/>
      <c r="D544" s="1859"/>
      <c r="E544" s="1859"/>
      <c r="F544" s="1859"/>
      <c r="G544" s="788"/>
    </row>
    <row r="545" spans="1:9">
      <c r="A545" s="827"/>
      <c r="B545" s="827"/>
      <c r="C545" s="827"/>
      <c r="D545" s="798"/>
      <c r="E545" s="798"/>
      <c r="F545" s="798"/>
      <c r="G545" s="788"/>
    </row>
    <row r="546" spans="1:9">
      <c r="A546" s="795"/>
      <c r="B546" s="796" t="s">
        <v>2672</v>
      </c>
      <c r="C546" s="827"/>
      <c r="D546" s="1859" t="s">
        <v>1226</v>
      </c>
      <c r="E546" s="1859"/>
      <c r="F546" s="1859"/>
      <c r="G546" s="788"/>
      <c r="I546" s="1674" t="s">
        <v>2357</v>
      </c>
    </row>
    <row r="547" spans="1:9">
      <c r="A547" s="827"/>
      <c r="B547" s="827"/>
      <c r="C547" s="827"/>
      <c r="D547" s="1859"/>
      <c r="E547" s="1859"/>
      <c r="F547" s="1859"/>
      <c r="G547" s="788"/>
    </row>
    <row r="548" spans="1:9">
      <c r="A548" s="827"/>
      <c r="B548" s="827"/>
      <c r="C548" s="827"/>
      <c r="D548" s="798"/>
      <c r="E548" s="798"/>
      <c r="F548" s="798"/>
      <c r="G548" s="788"/>
    </row>
    <row r="549" spans="1:9">
      <c r="A549" s="795"/>
      <c r="B549" s="796" t="s">
        <v>2672</v>
      </c>
      <c r="C549" s="827"/>
      <c r="D549" s="1859" t="s">
        <v>1227</v>
      </c>
      <c r="E549" s="1859"/>
      <c r="F549" s="1859"/>
      <c r="G549" s="788"/>
      <c r="I549" s="1674" t="s">
        <v>2358</v>
      </c>
    </row>
    <row r="550" spans="1:9">
      <c r="A550" s="827"/>
      <c r="B550" s="827"/>
      <c r="C550" s="827"/>
      <c r="D550" s="1859"/>
      <c r="E550" s="1859"/>
      <c r="F550" s="1859"/>
      <c r="G550" s="788"/>
    </row>
    <row r="551" spans="1:9">
      <c r="A551" s="827"/>
      <c r="B551" s="827"/>
      <c r="C551" s="827"/>
      <c r="D551" s="798"/>
      <c r="E551" s="798"/>
      <c r="F551" s="798"/>
      <c r="G551" s="788"/>
    </row>
    <row r="552" spans="1:9">
      <c r="A552" s="795"/>
      <c r="B552" s="796" t="s">
        <v>2672</v>
      </c>
      <c r="C552" s="827"/>
      <c r="D552" s="1859" t="s">
        <v>1228</v>
      </c>
      <c r="E552" s="1859"/>
      <c r="F552" s="1859"/>
      <c r="G552" s="788"/>
      <c r="I552" s="1674" t="s">
        <v>2409</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c r="A556" s="795"/>
      <c r="B556" s="796" t="s">
        <v>2602</v>
      </c>
      <c r="C556" s="827"/>
      <c r="D556" s="1943" t="s">
        <v>1346</v>
      </c>
      <c r="E556" s="1943"/>
      <c r="F556" s="1943"/>
      <c r="I556" s="1674" t="s">
        <v>2408</v>
      </c>
    </row>
    <row r="557" spans="1:9">
      <c r="A557" s="827"/>
      <c r="B557" s="827"/>
      <c r="C557" s="827"/>
      <c r="D557" s="1943"/>
      <c r="E557" s="1943"/>
      <c r="F557" s="1943"/>
    </row>
    <row r="558" spans="1:9">
      <c r="A558" s="827"/>
      <c r="B558" s="827"/>
      <c r="C558" s="827"/>
      <c r="D558" s="798"/>
      <c r="E558" s="798"/>
      <c r="F558" s="798"/>
    </row>
    <row r="559" spans="1:9">
      <c r="A559" s="795"/>
      <c r="B559" s="796" t="s">
        <v>2672</v>
      </c>
      <c r="C559" s="827"/>
      <c r="D559" s="1859" t="s">
        <v>1230</v>
      </c>
      <c r="E559" s="1859"/>
      <c r="F559" s="1859"/>
      <c r="I559" s="1674" t="s">
        <v>2408</v>
      </c>
    </row>
    <row r="560" spans="1:9">
      <c r="A560" s="827"/>
      <c r="B560" s="827"/>
      <c r="C560" s="827"/>
      <c r="D560" s="1859"/>
      <c r="E560" s="1859"/>
      <c r="F560" s="1859"/>
      <c r="G560" s="817"/>
    </row>
    <row r="561" spans="1:16">
      <c r="A561" s="827"/>
      <c r="B561" s="827"/>
      <c r="C561" s="827"/>
      <c r="D561" s="798"/>
      <c r="E561" s="798"/>
      <c r="F561" s="798"/>
      <c r="G561" s="817"/>
    </row>
    <row r="562" spans="1:16">
      <c r="A562" s="795"/>
      <c r="B562" s="796" t="s">
        <v>2672</v>
      </c>
      <c r="C562" s="827"/>
      <c r="D562" s="1861" t="s">
        <v>1231</v>
      </c>
      <c r="E562" s="1861"/>
      <c r="F562" s="1861"/>
      <c r="G562" s="817"/>
      <c r="I562" s="1674" t="s">
        <v>2411</v>
      </c>
      <c r="P562" s="1672"/>
    </row>
    <row r="563" spans="1:16">
      <c r="A563" s="814"/>
      <c r="B563" s="814"/>
      <c r="C563" s="827"/>
      <c r="D563" s="1861" t="s">
        <v>2496</v>
      </c>
      <c r="E563" s="1861"/>
      <c r="F563" s="1861"/>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2672</v>
      </c>
      <c r="C566" s="827"/>
      <c r="D566" s="1959" t="s">
        <v>1233</v>
      </c>
      <c r="E566" s="1959"/>
      <c r="F566" s="1959"/>
      <c r="G566" s="817"/>
      <c r="I566" s="1674" t="s">
        <v>2359</v>
      </c>
    </row>
    <row r="567" spans="1:16">
      <c r="C567" s="827"/>
      <c r="D567" s="1859" t="s">
        <v>1234</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c r="A571" s="795"/>
      <c r="B571" s="796" t="s">
        <v>2672</v>
      </c>
      <c r="C571" s="827"/>
      <c r="D571" s="1859" t="s">
        <v>1235</v>
      </c>
      <c r="E571" s="1859"/>
      <c r="F571" s="1859"/>
      <c r="G571" s="817"/>
      <c r="I571" s="1674" t="s">
        <v>2360</v>
      </c>
    </row>
    <row r="572" spans="1:16">
      <c r="A572" s="795"/>
      <c r="B572" s="795"/>
      <c r="C572" s="827"/>
      <c r="D572" s="1859"/>
      <c r="E572" s="1859"/>
      <c r="F572" s="1859"/>
      <c r="G572" s="817"/>
    </row>
    <row r="573" spans="1:16">
      <c r="A573" s="795"/>
      <c r="B573" s="795"/>
      <c r="C573" s="827"/>
      <c r="D573" s="1859"/>
      <c r="E573" s="1859"/>
      <c r="F573" s="1859"/>
      <c r="G573" s="817"/>
    </row>
    <row r="574" spans="1:16">
      <c r="A574" s="795"/>
      <c r="B574" s="795"/>
      <c r="C574" s="827"/>
      <c r="D574" s="1859"/>
      <c r="E574" s="1859"/>
      <c r="F574" s="1859"/>
      <c r="G574" s="817"/>
    </row>
    <row r="575" spans="1:16">
      <c r="A575" s="795"/>
      <c r="B575" s="795"/>
      <c r="C575" s="827"/>
      <c r="D575" s="798"/>
      <c r="E575" s="798"/>
      <c r="F575" s="798"/>
      <c r="G575" s="817"/>
    </row>
    <row r="576" spans="1:16">
      <c r="A576" s="1841" t="s">
        <v>1168</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216</v>
      </c>
      <c r="E578" s="1927"/>
      <c r="F578" s="1927"/>
      <c r="G578" s="817"/>
    </row>
    <row r="579" spans="1:9">
      <c r="A579" s="793"/>
      <c r="B579" s="793"/>
      <c r="C579" s="793"/>
      <c r="D579" s="1864" t="s">
        <v>1184</v>
      </c>
      <c r="E579" s="1864"/>
      <c r="F579" s="1864"/>
      <c r="G579" s="817"/>
    </row>
    <row r="580" spans="1:9">
      <c r="A580" s="788"/>
      <c r="B580" s="788"/>
      <c r="C580" s="793"/>
      <c r="D580" s="835"/>
      <c r="G580" s="817"/>
      <c r="I580" s="1674" t="s">
        <v>2361</v>
      </c>
    </row>
    <row r="581" spans="1:9">
      <c r="A581" s="793"/>
      <c r="B581" s="796" t="s">
        <v>2672</v>
      </c>
      <c r="D581" s="1864" t="s">
        <v>955</v>
      </c>
      <c r="E581" s="1864"/>
      <c r="F581" s="1864"/>
      <c r="G581" s="817"/>
    </row>
    <row r="582" spans="1:9">
      <c r="A582" s="814"/>
      <c r="B582" s="814"/>
      <c r="D582" s="812"/>
    </row>
    <row r="583" spans="1:9">
      <c r="A583" s="814"/>
      <c r="B583" s="796" t="s">
        <v>2672</v>
      </c>
      <c r="D583" s="1840" t="s">
        <v>1185</v>
      </c>
      <c r="E583" s="1840"/>
      <c r="F583" s="1840"/>
      <c r="I583" s="1674" t="s">
        <v>2363</v>
      </c>
    </row>
    <row r="584" spans="1:9">
      <c r="A584" s="814"/>
      <c r="B584" s="814"/>
      <c r="D584" s="1840"/>
      <c r="E584" s="1840"/>
      <c r="F584" s="1840"/>
      <c r="G584" s="788"/>
      <c r="I584" s="1674" t="s">
        <v>2362</v>
      </c>
    </row>
    <row r="585" spans="1:9">
      <c r="A585" s="814"/>
      <c r="B585" s="814"/>
      <c r="D585" s="1840"/>
      <c r="E585" s="1840"/>
      <c r="F585" s="1840"/>
      <c r="G585" s="788"/>
    </row>
    <row r="586" spans="1:9">
      <c r="A586" s="814"/>
      <c r="B586" s="814"/>
      <c r="D586" s="1840"/>
      <c r="E586" s="1840"/>
      <c r="F586" s="1840"/>
      <c r="G586" s="788"/>
    </row>
    <row r="587" spans="1:9">
      <c r="A587" s="814"/>
      <c r="B587" s="796" t="s">
        <v>2602</v>
      </c>
      <c r="D587" s="1840" t="s">
        <v>1186</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2672</v>
      </c>
      <c r="D592" s="1840" t="s">
        <v>1187</v>
      </c>
      <c r="E592" s="1840"/>
      <c r="F592" s="1840"/>
      <c r="G592" s="788"/>
    </row>
    <row r="593" spans="1:9">
      <c r="A593" s="814"/>
      <c r="B593" s="814"/>
      <c r="D593" s="1840"/>
      <c r="E593" s="1840"/>
      <c r="F593" s="1840"/>
      <c r="G593" s="788"/>
    </row>
    <row r="594" spans="1:9">
      <c r="A594" s="814"/>
      <c r="B594" s="814"/>
      <c r="D594" s="835"/>
      <c r="G594" s="788"/>
    </row>
    <row r="595" spans="1:9">
      <c r="A595" s="814"/>
      <c r="B595" s="796" t="s">
        <v>2602</v>
      </c>
      <c r="D595" s="1864" t="s">
        <v>1188</v>
      </c>
      <c r="E595" s="1864"/>
      <c r="F595" s="1864"/>
      <c r="G595" s="788"/>
      <c r="I595" s="1674" t="s">
        <v>2412</v>
      </c>
    </row>
    <row r="596" spans="1:9">
      <c r="A596" s="814"/>
      <c r="B596" s="814"/>
      <c r="D596" s="1864"/>
      <c r="E596" s="1864"/>
      <c r="F596" s="1864"/>
      <c r="G596" s="788"/>
    </row>
    <row r="597" spans="1:9">
      <c r="A597" s="795"/>
      <c r="B597" s="795"/>
      <c r="D597" s="835"/>
      <c r="G597" s="788"/>
    </row>
    <row r="598" spans="1:9">
      <c r="A598" s="1841" t="s">
        <v>1169</v>
      </c>
      <c r="B598" s="1841"/>
      <c r="C598" s="1841"/>
      <c r="D598" s="1841"/>
      <c r="E598" s="1841"/>
      <c r="F598" s="1841"/>
      <c r="G598" s="1841"/>
      <c r="H598" s="1749"/>
      <c r="I598" s="1750"/>
    </row>
    <row r="599" spans="1:9"/>
    <row r="600" spans="1:9">
      <c r="D600" s="1858" t="s">
        <v>1269</v>
      </c>
      <c r="E600" s="1858"/>
      <c r="F600" s="1858"/>
    </row>
    <row r="601" spans="1:9">
      <c r="D601" s="1897" t="s">
        <v>1270</v>
      </c>
      <c r="E601" s="1897"/>
      <c r="F601" s="1897"/>
    </row>
    <row r="602" spans="1:9">
      <c r="D602" s="778"/>
      <c r="E602" s="720"/>
      <c r="F602" s="720"/>
    </row>
    <row r="603" spans="1:9" s="789" customFormat="1" ht="14.25" customHeight="1">
      <c r="A603" s="803"/>
      <c r="B603" s="796" t="s">
        <v>2672</v>
      </c>
      <c r="C603" s="799"/>
      <c r="D603" s="1929" t="s">
        <v>2497</v>
      </c>
      <c r="E603" s="1929"/>
      <c r="F603" s="1929"/>
      <c r="G603" s="800"/>
      <c r="I603" s="1733" t="s">
        <v>2391</v>
      </c>
    </row>
    <row r="604" spans="1:9">
      <c r="D604" s="1929"/>
      <c r="E604" s="1929"/>
      <c r="F604" s="1929"/>
    </row>
    <row r="605" spans="1:9">
      <c r="D605" s="1810"/>
      <c r="E605" s="1806" t="s">
        <v>2498</v>
      </c>
      <c r="F605" s="1810"/>
    </row>
    <row r="606" spans="1:9"/>
    <row r="607" spans="1:9">
      <c r="A607" s="1841" t="s">
        <v>1170</v>
      </c>
      <c r="B607" s="1841"/>
      <c r="C607" s="1841"/>
      <c r="D607" s="1841"/>
      <c r="E607" s="1841"/>
      <c r="F607" s="1841"/>
      <c r="G607" s="1841"/>
      <c r="H607" s="1749"/>
      <c r="I607" s="1750"/>
    </row>
    <row r="608" spans="1:9">
      <c r="A608" s="798"/>
      <c r="B608" s="798"/>
      <c r="G608" s="817"/>
    </row>
    <row r="609" spans="1:13">
      <c r="A609" s="836"/>
      <c r="B609" s="836"/>
      <c r="C609" s="791"/>
      <c r="D609" s="1898" t="s">
        <v>1272</v>
      </c>
      <c r="E609" s="1898"/>
      <c r="F609" s="1898"/>
      <c r="G609" s="817"/>
    </row>
    <row r="610" spans="1:13">
      <c r="A610" s="836"/>
      <c r="B610" s="836"/>
      <c r="C610" s="791"/>
      <c r="D610" s="1898"/>
      <c r="E610" s="1898"/>
      <c r="F610" s="1898"/>
      <c r="G610" s="817"/>
    </row>
    <row r="611" spans="1:13">
      <c r="C611" s="793"/>
      <c r="D611" s="1897" t="s">
        <v>1273</v>
      </c>
      <c r="E611" s="1897"/>
      <c r="F611" s="1897"/>
      <c r="G611" s="817"/>
    </row>
    <row r="612" spans="1:13">
      <c r="C612" s="793"/>
      <c r="D612" s="778"/>
      <c r="E612" s="778"/>
      <c r="F612" s="778"/>
      <c r="G612" s="817"/>
    </row>
    <row r="613" spans="1:13" ht="12.75" customHeight="1">
      <c r="A613" s="814"/>
      <c r="B613" s="796" t="s">
        <v>2672</v>
      </c>
      <c r="D613" s="1857" t="s">
        <v>1274</v>
      </c>
      <c r="E613" s="1857"/>
      <c r="F613" s="1857"/>
      <c r="G613" s="817"/>
      <c r="I613" s="1674" t="s">
        <v>2413</v>
      </c>
    </row>
    <row r="614" spans="1:13">
      <c r="D614" s="1857"/>
      <c r="E614" s="1857"/>
      <c r="F614" s="1857"/>
      <c r="G614" s="817"/>
    </row>
    <row r="615" spans="1:13">
      <c r="D615" s="788"/>
      <c r="G615" s="817"/>
    </row>
    <row r="616" spans="1:13">
      <c r="B616" s="796" t="s">
        <v>2672</v>
      </c>
      <c r="D616" s="1857" t="s">
        <v>1275</v>
      </c>
      <c r="E616" s="1857"/>
      <c r="F616" s="1857"/>
      <c r="G616" s="817"/>
      <c r="I616" s="1674" t="s">
        <v>2364</v>
      </c>
    </row>
    <row r="617" spans="1:13">
      <c r="C617" s="837"/>
      <c r="D617" s="1857"/>
      <c r="E617" s="1857"/>
      <c r="F617" s="1857"/>
      <c r="G617" s="817"/>
    </row>
    <row r="618" spans="1:13">
      <c r="C618" s="837"/>
      <c r="G618" s="817"/>
    </row>
    <row r="619" spans="1:13">
      <c r="B619" s="796" t="s">
        <v>2602</v>
      </c>
      <c r="C619" s="837"/>
      <c r="D619" s="1857" t="s">
        <v>1276</v>
      </c>
      <c r="E619" s="1857"/>
      <c r="F619" s="1857"/>
      <c r="G619" s="817"/>
      <c r="I619" s="1674" t="s">
        <v>2414</v>
      </c>
    </row>
    <row r="620" spans="1:13">
      <c r="C620" s="837"/>
      <c r="D620" s="1857"/>
      <c r="E620" s="1857"/>
      <c r="F620" s="1857"/>
      <c r="G620" s="817"/>
      <c r="I620" s="1746" t="s">
        <v>2415</v>
      </c>
    </row>
    <row r="621" spans="1:13">
      <c r="C621" s="837"/>
      <c r="G621" s="817"/>
    </row>
    <row r="622" spans="1:13">
      <c r="A622" s="1841" t="s">
        <v>1171</v>
      </c>
      <c r="B622" s="1841"/>
      <c r="C622" s="1841"/>
      <c r="D622" s="1841"/>
      <c r="E622" s="1841"/>
      <c r="F622" s="1841"/>
      <c r="G622" s="1841"/>
      <c r="H622" s="1749"/>
      <c r="I622" s="1750"/>
    </row>
    <row r="623" spans="1:13">
      <c r="A623" s="838"/>
      <c r="B623" s="838"/>
      <c r="C623" s="838"/>
      <c r="G623" s="817"/>
    </row>
    <row r="624" spans="1:13">
      <c r="C624" s="814"/>
      <c r="D624" s="1858" t="s">
        <v>1277</v>
      </c>
      <c r="E624" s="1858"/>
      <c r="F624" s="1858"/>
      <c r="G624" s="817"/>
      <c r="M624" s="1672"/>
    </row>
    <row r="625" spans="1:13">
      <c r="A625" s="814"/>
      <c r="B625" s="814"/>
      <c r="C625" s="816"/>
      <c r="D625" s="792"/>
      <c r="G625" s="817"/>
      <c r="M625" s="1672"/>
    </row>
    <row r="626" spans="1:13" ht="14.25" customHeight="1">
      <c r="A626" s="795"/>
      <c r="B626" s="796" t="s">
        <v>2672</v>
      </c>
      <c r="C626" s="816"/>
      <c r="D626" s="1930" t="s">
        <v>2499</v>
      </c>
      <c r="E626" s="1930"/>
      <c r="F626" s="1930"/>
      <c r="G626" s="817"/>
      <c r="I626" s="1674" t="s">
        <v>2392</v>
      </c>
      <c r="M626" s="1672"/>
    </row>
    <row r="627" spans="1:13">
      <c r="C627" s="816"/>
      <c r="D627" s="1930"/>
      <c r="E627" s="1930"/>
      <c r="F627" s="1930"/>
      <c r="G627" s="817"/>
      <c r="M627" s="1672"/>
    </row>
    <row r="628" spans="1:13">
      <c r="C628" s="816"/>
      <c r="D628" s="876"/>
      <c r="E628" s="1806" t="s">
        <v>2501</v>
      </c>
      <c r="F628" s="876"/>
      <c r="G628" s="817"/>
      <c r="M628" s="1672"/>
    </row>
    <row r="629" spans="1:13">
      <c r="C629" s="816"/>
      <c r="D629" s="1859" t="s">
        <v>2500</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c r="A633" s="795"/>
      <c r="B633" s="796" t="s">
        <v>2602</v>
      </c>
      <c r="C633" s="816"/>
      <c r="D633" s="1859" t="s">
        <v>1279</v>
      </c>
      <c r="E633" s="1859"/>
      <c r="F633" s="1859"/>
      <c r="G633" s="817"/>
      <c r="I633" s="1674" t="s">
        <v>2416</v>
      </c>
    </row>
    <row r="634" spans="1:13">
      <c r="A634" s="827"/>
      <c r="B634" s="827"/>
      <c r="C634" s="827"/>
      <c r="D634" s="1859"/>
      <c r="E634" s="1859"/>
      <c r="F634" s="1859"/>
      <c r="G634" s="817"/>
    </row>
    <row r="635" spans="1:13">
      <c r="A635" s="827"/>
      <c r="B635" s="827"/>
      <c r="C635" s="827"/>
      <c r="D635" s="783"/>
      <c r="E635" s="839"/>
      <c r="F635" s="839"/>
      <c r="G635" s="817"/>
    </row>
    <row r="636" spans="1:13">
      <c r="A636" s="795"/>
      <c r="B636" s="796" t="s">
        <v>2602</v>
      </c>
      <c r="C636" s="827"/>
      <c r="D636" s="1860" t="s">
        <v>1435</v>
      </c>
      <c r="E636" s="1860"/>
      <c r="F636" s="1860"/>
      <c r="G636" s="817"/>
      <c r="I636" s="1674" t="s">
        <v>2365</v>
      </c>
    </row>
    <row r="637" spans="1:13">
      <c r="A637" s="795"/>
      <c r="B637" s="795"/>
      <c r="C637" s="827"/>
      <c r="D637" s="1860"/>
      <c r="E637" s="1860"/>
      <c r="F637" s="1860"/>
      <c r="G637" s="817"/>
    </row>
    <row r="638" spans="1:13">
      <c r="A638" s="795"/>
      <c r="B638" s="795"/>
      <c r="C638" s="827"/>
      <c r="D638" s="1860"/>
      <c r="E638" s="1860"/>
      <c r="F638" s="1860"/>
      <c r="G638" s="817"/>
    </row>
    <row r="639" spans="1:13">
      <c r="A639" s="827"/>
      <c r="B639" s="796" t="s">
        <v>2602</v>
      </c>
      <c r="C639" s="827"/>
      <c r="D639" s="1861" t="s">
        <v>1281</v>
      </c>
      <c r="E639" s="1861"/>
      <c r="F639" s="1861"/>
      <c r="G639" s="817"/>
      <c r="I639" s="1674" t="s">
        <v>2365</v>
      </c>
    </row>
    <row r="640" spans="1:13">
      <c r="A640" s="827"/>
      <c r="B640" s="827"/>
      <c r="C640" s="827"/>
      <c r="D640" s="725"/>
      <c r="E640" s="725"/>
      <c r="F640" s="725"/>
      <c r="G640" s="817"/>
    </row>
    <row r="641" spans="1:9">
      <c r="A641" s="1841" t="s">
        <v>1172</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1331</v>
      </c>
      <c r="E643" s="1933"/>
      <c r="F643" s="1933"/>
      <c r="G643" s="817"/>
    </row>
    <row r="644" spans="1:9">
      <c r="A644" s="793"/>
      <c r="B644" s="793"/>
      <c r="C644" s="793"/>
      <c r="D644" s="1934" t="s">
        <v>1332</v>
      </c>
      <c r="E644" s="1934"/>
      <c r="F644" s="1934"/>
      <c r="G644" s="817"/>
    </row>
    <row r="645" spans="1:9">
      <c r="A645" s="793"/>
      <c r="B645" s="793"/>
      <c r="C645" s="793"/>
      <c r="D645" s="725"/>
      <c r="E645" s="725"/>
      <c r="F645" s="725"/>
      <c r="G645" s="817"/>
    </row>
    <row r="646" spans="1:9" ht="12.75" customHeight="1">
      <c r="B646" s="796" t="s">
        <v>2602</v>
      </c>
      <c r="C646" s="827"/>
      <c r="D646" s="1941" t="s">
        <v>1515</v>
      </c>
      <c r="E646" s="1941"/>
      <c r="F646" s="1941"/>
      <c r="I646" s="1674" t="s">
        <v>2419</v>
      </c>
    </row>
    <row r="647" spans="1:9">
      <c r="D647" s="1941"/>
      <c r="E647" s="1941"/>
      <c r="F647" s="1941"/>
    </row>
    <row r="648" spans="1:9">
      <c r="D648" s="1941"/>
      <c r="E648" s="1941"/>
      <c r="F648" s="1941"/>
    </row>
    <row r="649" spans="1:9">
      <c r="D649" s="1941"/>
      <c r="E649" s="1941"/>
      <c r="F649" s="1941"/>
    </row>
    <row r="650" spans="1:9" ht="14.5" customHeight="1">
      <c r="A650" s="795"/>
      <c r="B650" s="795"/>
      <c r="C650" s="827"/>
      <c r="D650" s="898"/>
      <c r="E650" s="898"/>
      <c r="F650" s="898"/>
      <c r="G650" s="817"/>
    </row>
    <row r="651" spans="1:9" ht="12.75" customHeight="1">
      <c r="A651" s="793"/>
      <c r="B651" s="796" t="s">
        <v>2602</v>
      </c>
      <c r="C651" s="827"/>
      <c r="D651" s="1941" t="s">
        <v>1518</v>
      </c>
      <c r="E651" s="1941"/>
      <c r="F651" s="1941"/>
      <c r="G651" s="817"/>
      <c r="I651" s="1674" t="s">
        <v>2419</v>
      </c>
    </row>
    <row r="652" spans="1:9">
      <c r="A652" s="793"/>
      <c r="B652" s="795"/>
      <c r="C652" s="827"/>
      <c r="D652" s="1941"/>
      <c r="E652" s="1941"/>
      <c r="F652" s="1941"/>
      <c r="G652" s="817"/>
    </row>
    <row r="653" spans="1:9">
      <c r="A653" s="793"/>
      <c r="B653" s="795"/>
      <c r="C653" s="827"/>
      <c r="D653" s="1941"/>
      <c r="E653" s="1941"/>
      <c r="F653" s="1941"/>
      <c r="G653" s="817"/>
    </row>
    <row r="654" spans="1:9">
      <c r="A654" s="793"/>
      <c r="B654" s="795"/>
      <c r="C654" s="827"/>
      <c r="D654" s="1941"/>
      <c r="E654" s="1941"/>
      <c r="F654" s="1941"/>
      <c r="G654" s="817"/>
    </row>
    <row r="655" spans="1:9">
      <c r="A655" s="793"/>
      <c r="B655" s="795"/>
      <c r="C655" s="827"/>
      <c r="D655" s="1941"/>
      <c r="E655" s="1941"/>
      <c r="F655" s="1941"/>
      <c r="G655" s="817"/>
    </row>
    <row r="656" spans="1:9" ht="14.25" customHeight="1">
      <c r="A656" s="793"/>
      <c r="B656" s="795"/>
      <c r="C656" s="827"/>
      <c r="F656" s="899"/>
      <c r="G656" s="817"/>
    </row>
    <row r="657" spans="1:11" ht="12.75" customHeight="1">
      <c r="A657" s="793"/>
      <c r="B657" s="796" t="s">
        <v>2602</v>
      </c>
      <c r="C657" s="827"/>
      <c r="D657" s="1941" t="s">
        <v>1516</v>
      </c>
      <c r="E657" s="1941"/>
      <c r="F657" s="1941"/>
      <c r="G657" s="817"/>
      <c r="I657" s="1674" t="s">
        <v>2419</v>
      </c>
    </row>
    <row r="658" spans="1:11">
      <c r="A658" s="793"/>
      <c r="B658" s="795"/>
      <c r="C658" s="827"/>
      <c r="D658" s="1941"/>
      <c r="E658" s="1941"/>
      <c r="F658" s="1941"/>
      <c r="G658" s="817"/>
    </row>
    <row r="659" spans="1:11">
      <c r="A659" s="795"/>
      <c r="B659" s="795"/>
      <c r="C659" s="827"/>
      <c r="D659" s="1941"/>
      <c r="E659" s="1941"/>
      <c r="F659" s="1941"/>
      <c r="G659" s="817"/>
    </row>
    <row r="660" spans="1:11">
      <c r="A660" s="795"/>
      <c r="B660" s="795"/>
      <c r="C660" s="827"/>
      <c r="D660" s="1941"/>
      <c r="E660" s="1941"/>
      <c r="F660" s="1941"/>
      <c r="G660" s="817"/>
    </row>
    <row r="661" spans="1:11">
      <c r="A661" s="795"/>
      <c r="B661" s="795"/>
      <c r="C661" s="827"/>
      <c r="D661" s="890"/>
      <c r="E661" s="890"/>
      <c r="F661" s="890"/>
      <c r="G661" s="817"/>
    </row>
    <row r="662" spans="1:11" ht="12.75" customHeight="1">
      <c r="A662" s="793"/>
      <c r="B662" s="796" t="s">
        <v>2602</v>
      </c>
      <c r="C662" s="827"/>
      <c r="D662" s="1941" t="s">
        <v>1517</v>
      </c>
      <c r="E662" s="1941"/>
      <c r="F662" s="1941"/>
      <c r="G662" s="817"/>
      <c r="I662" s="1674" t="s">
        <v>2419</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1173</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1209</v>
      </c>
      <c r="E676" s="1861"/>
      <c r="F676" s="1861"/>
      <c r="G676" s="817"/>
      <c r="H676" s="840"/>
      <c r="I676" s="1737"/>
      <c r="J676" s="840"/>
      <c r="K676" s="840"/>
    </row>
    <row r="677" spans="1:11">
      <c r="A677" s="793"/>
      <c r="B677" s="793"/>
      <c r="C677" s="793"/>
      <c r="G677" s="817"/>
      <c r="H677" s="840"/>
      <c r="I677" s="1737"/>
      <c r="J677" s="840"/>
      <c r="K677" s="840"/>
    </row>
    <row r="678" spans="1:11">
      <c r="A678" s="795"/>
      <c r="B678" s="796" t="s">
        <v>2672</v>
      </c>
      <c r="C678" s="793"/>
      <c r="D678" s="1861" t="s">
        <v>951</v>
      </c>
      <c r="E678" s="1861"/>
      <c r="F678" s="1861"/>
      <c r="G678" s="817"/>
      <c r="H678" s="840"/>
      <c r="I678" s="1737" t="s">
        <v>2393</v>
      </c>
      <c r="J678" s="840"/>
      <c r="K678" s="840"/>
    </row>
    <row r="679" spans="1:11">
      <c r="A679" s="793"/>
      <c r="B679" s="793"/>
      <c r="C679" s="793"/>
      <c r="D679" s="1861" t="s">
        <v>962</v>
      </c>
      <c r="E679" s="1861"/>
      <c r="F679" s="1861"/>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796" t="s">
        <v>2602</v>
      </c>
      <c r="C683" s="793"/>
      <c r="D683" s="1859" t="s">
        <v>1402</v>
      </c>
      <c r="E683" s="1859"/>
      <c r="F683" s="1859"/>
      <c r="G683" s="817"/>
      <c r="H683" s="840"/>
      <c r="I683" s="1737" t="s">
        <v>2417</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2394</v>
      </c>
      <c r="J686" s="840"/>
      <c r="K686" s="840"/>
    </row>
    <row r="687" spans="1:11">
      <c r="A687" s="795"/>
      <c r="B687" s="796" t="s">
        <v>2602</v>
      </c>
      <c r="C687" s="793"/>
      <c r="D687" s="1861" t="s">
        <v>991</v>
      </c>
      <c r="E687" s="1861"/>
      <c r="F687" s="1861"/>
      <c r="G687" s="817"/>
      <c r="H687" s="840"/>
      <c r="I687" s="1737"/>
      <c r="J687" s="840"/>
      <c r="K687" s="840"/>
    </row>
    <row r="688" spans="1:11">
      <c r="A688" s="795"/>
      <c r="B688" s="795"/>
      <c r="C688" s="793"/>
      <c r="D688" s="1861" t="s">
        <v>962</v>
      </c>
      <c r="E688" s="1861"/>
      <c r="F688" s="1861"/>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2602</v>
      </c>
      <c r="C691" s="793"/>
      <c r="D691" s="1943" t="s">
        <v>1222</v>
      </c>
      <c r="E691" s="1943"/>
      <c r="F691" s="1943"/>
      <c r="G691" s="817"/>
      <c r="H691" s="840"/>
      <c r="I691" s="1737" t="s">
        <v>2366</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2602</v>
      </c>
      <c r="C698" s="832"/>
      <c r="D698" s="1943" t="s">
        <v>1404</v>
      </c>
      <c r="E698" s="1943"/>
      <c r="F698" s="1943"/>
      <c r="G698" s="842"/>
      <c r="H698" s="843"/>
      <c r="I698" s="1738" t="s">
        <v>2366</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2602</v>
      </c>
      <c r="C701" s="793"/>
      <c r="D701" s="1943" t="s">
        <v>1213</v>
      </c>
      <c r="E701" s="1943"/>
      <c r="F701" s="1943"/>
      <c r="G701" s="817"/>
      <c r="H701" s="840"/>
      <c r="I701" s="1737" t="s">
        <v>2366</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2602</v>
      </c>
      <c r="C714" s="793"/>
      <c r="D714" s="1943" t="s">
        <v>1220</v>
      </c>
      <c r="E714" s="1943"/>
      <c r="F714" s="1943"/>
      <c r="G714" s="817"/>
      <c r="H714" s="840"/>
      <c r="I714" s="1737" t="s">
        <v>2418</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2602</v>
      </c>
      <c r="C717" s="793"/>
      <c r="D717" s="1943" t="s">
        <v>1214</v>
      </c>
      <c r="E717" s="1943"/>
      <c r="F717" s="1943"/>
      <c r="G717" s="817"/>
      <c r="H717" s="840"/>
      <c r="I717" s="1737" t="s">
        <v>2418</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2602</v>
      </c>
      <c r="C721" s="793"/>
      <c r="D721" s="1943" t="s">
        <v>1215</v>
      </c>
      <c r="E721" s="1943"/>
      <c r="F721" s="1943"/>
      <c r="G721" s="817"/>
      <c r="H721" s="840"/>
      <c r="I721" s="1737" t="s">
        <v>2418</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c r="A725" s="795"/>
      <c r="B725" s="796" t="s">
        <v>2602</v>
      </c>
      <c r="C725" s="793"/>
      <c r="D725" s="1859" t="s">
        <v>1216</v>
      </c>
      <c r="E725" s="1859"/>
      <c r="F725" s="1859"/>
      <c r="G725" s="817"/>
      <c r="H725" s="840"/>
      <c r="I725" s="1737" t="s">
        <v>2367</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c r="A730" s="795"/>
      <c r="B730" s="796" t="s">
        <v>2672</v>
      </c>
      <c r="C730" s="793"/>
      <c r="D730" s="1943" t="s">
        <v>1349</v>
      </c>
      <c r="E730" s="1943"/>
      <c r="F730" s="1943"/>
      <c r="G730" s="817"/>
      <c r="H730" s="840"/>
      <c r="I730" s="1737" t="s">
        <v>2383</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1217</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1174</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75" customHeight="1">
      <c r="C741" s="793"/>
      <c r="D741" s="1927" t="s">
        <v>1190</v>
      </c>
      <c r="E741" s="1927"/>
      <c r="F741" s="1927"/>
      <c r="G741" s="845"/>
      <c r="H741" s="840"/>
      <c r="I741" s="1737"/>
      <c r="J741" s="840"/>
      <c r="K741" s="840"/>
    </row>
    <row r="742" spans="1:11">
      <c r="A742" s="793"/>
      <c r="B742" s="793"/>
      <c r="C742" s="793"/>
      <c r="D742" s="1885" t="s">
        <v>1191</v>
      </c>
      <c r="E742" s="1885"/>
      <c r="F742" s="1885"/>
      <c r="G742" s="845"/>
      <c r="H742" s="840"/>
      <c r="I742" s="1737"/>
      <c r="J742" s="840"/>
      <c r="K742" s="840"/>
    </row>
    <row r="743" spans="1:11">
      <c r="A743" s="793"/>
      <c r="B743" s="793"/>
      <c r="C743" s="793"/>
      <c r="G743" s="845"/>
      <c r="H743" s="840"/>
      <c r="I743" s="1737"/>
      <c r="J743" s="840"/>
      <c r="K743" s="840"/>
    </row>
    <row r="744" spans="1:11" s="789" customFormat="1">
      <c r="A744" s="795"/>
      <c r="B744" s="796" t="s">
        <v>2672</v>
      </c>
      <c r="C744" s="786"/>
      <c r="D744" s="1859" t="s">
        <v>1192</v>
      </c>
      <c r="E744" s="1859"/>
      <c r="F744" s="1859"/>
      <c r="G744" s="845"/>
      <c r="H744" s="843"/>
      <c r="I744" s="1738" t="s">
        <v>2368</v>
      </c>
      <c r="J744" s="843"/>
      <c r="K744" s="843"/>
    </row>
    <row r="745" spans="1:11" s="789" customFormat="1" ht="10.4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65"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2602</v>
      </c>
      <c r="C751" s="849"/>
      <c r="D751" s="1860" t="s">
        <v>1453</v>
      </c>
      <c r="E751" s="1860"/>
      <c r="F751" s="1860"/>
      <c r="G751" s="850"/>
      <c r="I751" s="1739" t="s">
        <v>2368</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c r="A756" s="795"/>
      <c r="B756" s="796" t="s">
        <v>2602</v>
      </c>
      <c r="C756" s="849"/>
      <c r="D756" s="1951" t="s">
        <v>1454</v>
      </c>
      <c r="E756" s="1951"/>
      <c r="F756" s="1951"/>
      <c r="G756" s="850"/>
      <c r="I756" s="1739" t="s">
        <v>2369</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c r="A760" s="795"/>
      <c r="B760" s="796" t="s">
        <v>2602</v>
      </c>
      <c r="C760" s="799"/>
      <c r="D760" s="1860" t="s">
        <v>1399</v>
      </c>
      <c r="E760" s="1860"/>
      <c r="F760" s="1860"/>
      <c r="G760" s="846"/>
      <c r="H760" s="840"/>
      <c r="I760" s="1737" t="s">
        <v>2368</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2602</v>
      </c>
      <c r="C763" s="799"/>
      <c r="D763" s="1860" t="s">
        <v>1420</v>
      </c>
      <c r="E763" s="1860"/>
      <c r="F763" s="1860"/>
      <c r="G763" s="846"/>
      <c r="H763" s="840"/>
      <c r="I763" s="1737" t="s">
        <v>2368</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2240</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2297</v>
      </c>
      <c r="E769" s="1955"/>
      <c r="F769" s="1955"/>
      <c r="G769" s="684"/>
    </row>
    <row r="770" spans="1:9">
      <c r="A770" s="93"/>
      <c r="B770" s="93"/>
      <c r="C770" s="1632"/>
      <c r="D770" s="1932" t="s">
        <v>2188</v>
      </c>
      <c r="E770" s="1932"/>
      <c r="F770" s="1932"/>
      <c r="G770" s="684"/>
    </row>
    <row r="771" spans="1:9">
      <c r="A771" s="93"/>
      <c r="B771" s="93"/>
      <c r="C771" s="1632"/>
      <c r="D771" s="731"/>
      <c r="E771" s="731"/>
      <c r="F771" s="731"/>
      <c r="G771" s="684"/>
    </row>
    <row r="772" spans="1:9">
      <c r="A772" s="93"/>
      <c r="B772" s="796" t="s">
        <v>2672</v>
      </c>
      <c r="C772" s="1632"/>
      <c r="D772" s="1881" t="s">
        <v>2189</v>
      </c>
      <c r="E772" s="1881"/>
      <c r="F772" s="1881"/>
      <c r="G772" s="684"/>
      <c r="I772" s="1737" t="s">
        <v>2420</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2602</v>
      </c>
      <c r="C776" s="1635"/>
      <c r="D776" s="1881" t="s">
        <v>2190</v>
      </c>
      <c r="E776" s="1881"/>
      <c r="F776" s="1881"/>
      <c r="G776" s="684"/>
      <c r="I776" s="1737" t="s">
        <v>2420</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c r="A780" s="712"/>
      <c r="B780" s="796" t="s">
        <v>2602</v>
      </c>
      <c r="C780" s="1640"/>
      <c r="D780" s="1881" t="s">
        <v>2191</v>
      </c>
      <c r="E780" s="1881"/>
      <c r="F780" s="1881"/>
      <c r="G780" s="1639"/>
      <c r="I780" s="1737" t="s">
        <v>2420</v>
      </c>
    </row>
    <row r="781" spans="1:9">
      <c r="A781" s="712"/>
      <c r="B781" s="712"/>
      <c r="C781" s="1640"/>
      <c r="D781" s="1881"/>
      <c r="E781" s="1881"/>
      <c r="F781" s="1881"/>
      <c r="G781" s="1639"/>
    </row>
    <row r="782" spans="1:9">
      <c r="A782" s="712"/>
      <c r="B782" s="712"/>
      <c r="C782" s="1640"/>
      <c r="D782" s="1881"/>
      <c r="E782" s="1881"/>
      <c r="F782" s="1881"/>
      <c r="G782" s="1639"/>
    </row>
    <row r="783" spans="1:9">
      <c r="A783" s="712"/>
      <c r="B783" s="712"/>
      <c r="C783" s="1640"/>
      <c r="D783" s="1610"/>
      <c r="E783" s="6"/>
      <c r="F783" s="6"/>
      <c r="G783" s="1639"/>
    </row>
    <row r="784" spans="1:9">
      <c r="A784" s="712"/>
      <c r="B784" s="796" t="s">
        <v>2602</v>
      </c>
      <c r="C784" s="1640"/>
      <c r="D784" s="1881" t="s">
        <v>2192</v>
      </c>
      <c r="E784" s="1881"/>
      <c r="F784" s="1881"/>
      <c r="G784" s="1639"/>
      <c r="I784" s="1737" t="s">
        <v>2420</v>
      </c>
    </row>
    <row r="785" spans="1:9">
      <c r="A785" s="712"/>
      <c r="B785" s="712"/>
      <c r="C785" s="1640"/>
      <c r="D785" s="1881"/>
      <c r="E785" s="1881"/>
      <c r="F785" s="1881"/>
      <c r="G785" s="1639"/>
    </row>
    <row r="786" spans="1:9">
      <c r="A786" s="712"/>
      <c r="B786" s="712"/>
      <c r="C786" s="1640"/>
      <c r="D786" s="1881"/>
      <c r="E786" s="1881"/>
      <c r="F786" s="1881"/>
      <c r="G786" s="1639"/>
    </row>
    <row r="787" spans="1:9">
      <c r="A787" s="712"/>
      <c r="B787" s="712"/>
      <c r="C787" s="1640"/>
      <c r="D787" s="1881"/>
      <c r="E787" s="1881"/>
      <c r="F787" s="1881"/>
      <c r="G787" s="1639"/>
    </row>
    <row r="788" spans="1:9">
      <c r="A788" s="712"/>
      <c r="B788" s="712"/>
      <c r="C788" s="1640"/>
      <c r="D788" s="1881"/>
      <c r="E788" s="1881"/>
      <c r="F788" s="1881"/>
      <c r="G788" s="1639"/>
    </row>
    <row r="789" spans="1:9">
      <c r="A789" s="712"/>
      <c r="B789" s="712"/>
      <c r="C789" s="1640"/>
      <c r="D789" s="1881"/>
      <c r="E789" s="1881"/>
      <c r="F789" s="1881"/>
      <c r="G789" s="1639"/>
    </row>
    <row r="790" spans="1:9">
      <c r="A790" s="712"/>
      <c r="B790" s="712"/>
      <c r="C790" s="1640"/>
      <c r="D790" s="1881" t="s">
        <v>2241</v>
      </c>
      <c r="E790" s="1881"/>
      <c r="F790" s="1881"/>
      <c r="G790" s="1639"/>
    </row>
    <row r="791" spans="1:9">
      <c r="A791" s="712"/>
      <c r="B791" s="712"/>
      <c r="C791" s="1640"/>
      <c r="D791" s="1881"/>
      <c r="E791" s="1881"/>
      <c r="F791" s="1881"/>
      <c r="G791" s="1639"/>
    </row>
    <row r="792" spans="1:9">
      <c r="A792" s="712"/>
      <c r="B792" s="712"/>
      <c r="C792" s="1640"/>
      <c r="D792" s="1881"/>
      <c r="E792" s="1881"/>
      <c r="F792" s="1881"/>
      <c r="G792" s="1639"/>
    </row>
    <row r="793" spans="1:9">
      <c r="A793" s="712"/>
      <c r="B793" s="554"/>
      <c r="C793" s="1640"/>
      <c r="D793" s="1641"/>
      <c r="E793" s="1641"/>
      <c r="F793" s="1641"/>
      <c r="G793" s="1639"/>
    </row>
    <row r="794" spans="1:9">
      <c r="A794" s="712"/>
      <c r="B794" s="796" t="s">
        <v>2602</v>
      </c>
      <c r="C794" s="1640"/>
      <c r="D794" s="1881" t="s">
        <v>2193</v>
      </c>
      <c r="E794" s="1881"/>
      <c r="F794" s="1881"/>
      <c r="G794" s="1639"/>
      <c r="I794" s="1737" t="s">
        <v>2420</v>
      </c>
    </row>
    <row r="795" spans="1:9">
      <c r="A795" s="712"/>
      <c r="B795" s="712"/>
      <c r="C795" s="1640"/>
      <c r="D795" s="1881"/>
      <c r="E795" s="1881"/>
      <c r="F795" s="1881"/>
      <c r="G795" s="1639"/>
    </row>
    <row r="796" spans="1:9">
      <c r="A796" s="712"/>
      <c r="B796" s="712"/>
      <c r="C796" s="1640"/>
      <c r="D796" s="1881"/>
      <c r="E796" s="1881"/>
      <c r="F796" s="1881"/>
      <c r="G796" s="1639"/>
    </row>
    <row r="797" spans="1:9">
      <c r="A797" s="712"/>
      <c r="B797" s="712"/>
      <c r="C797" s="1640"/>
      <c r="D797" s="1881"/>
      <c r="E797" s="1881"/>
      <c r="F797" s="1881"/>
      <c r="G797" s="1639"/>
    </row>
    <row r="798" spans="1:9">
      <c r="A798" s="712"/>
      <c r="B798" s="712"/>
      <c r="C798" s="1640"/>
      <c r="D798" s="1881"/>
      <c r="E798" s="1881"/>
      <c r="F798" s="1881"/>
      <c r="G798" s="1639"/>
    </row>
    <row r="799" spans="1:9">
      <c r="A799" s="712"/>
      <c r="B799" s="712"/>
      <c r="C799" s="1640"/>
      <c r="D799" s="1881"/>
      <c r="E799" s="1881"/>
      <c r="F799" s="1881"/>
      <c r="G799" s="1639"/>
    </row>
    <row r="800" spans="1:9">
      <c r="A800" s="712"/>
      <c r="B800" s="712"/>
      <c r="C800" s="1640"/>
      <c r="D800" s="1619"/>
      <c r="E800" s="1619"/>
      <c r="F800" s="1619"/>
      <c r="G800" s="1639"/>
    </row>
    <row r="801" spans="1:9">
      <c r="A801" s="712"/>
      <c r="B801" s="796" t="s">
        <v>2602</v>
      </c>
      <c r="C801" s="1640"/>
      <c r="D801" s="1881" t="s">
        <v>2194</v>
      </c>
      <c r="E801" s="1881"/>
      <c r="F801" s="1881"/>
      <c r="G801" s="1639"/>
      <c r="I801" s="1737" t="s">
        <v>2420</v>
      </c>
    </row>
    <row r="802" spans="1:9">
      <c r="A802" s="712"/>
      <c r="B802" s="712"/>
      <c r="C802" s="1640"/>
      <c r="D802" s="1881"/>
      <c r="E802" s="1881"/>
      <c r="F802" s="1881"/>
      <c r="G802" s="1639"/>
    </row>
    <row r="803" spans="1:9">
      <c r="A803" s="712"/>
      <c r="B803" s="712"/>
      <c r="C803" s="1640"/>
      <c r="D803" s="1881"/>
      <c r="E803" s="1881"/>
      <c r="F803" s="1881"/>
      <c r="G803" s="1639"/>
    </row>
    <row r="804" spans="1:9">
      <c r="A804" s="712"/>
      <c r="B804" s="712"/>
      <c r="C804" s="1640"/>
      <c r="D804" s="1881"/>
      <c r="E804" s="1881"/>
      <c r="F804" s="1881"/>
      <c r="G804" s="1639"/>
    </row>
    <row r="805" spans="1:9">
      <c r="A805" s="712"/>
      <c r="B805" s="712"/>
      <c r="C805" s="1640"/>
      <c r="D805" s="1881"/>
      <c r="E805" s="1881"/>
      <c r="F805" s="1881"/>
      <c r="G805" s="1639"/>
    </row>
    <row r="806" spans="1:9">
      <c r="A806" s="712"/>
      <c r="B806" s="712"/>
      <c r="C806" s="1640"/>
      <c r="D806" s="1881"/>
      <c r="E806" s="1881"/>
      <c r="F806" s="1881"/>
      <c r="G806" s="1639"/>
    </row>
    <row r="807" spans="1:9">
      <c r="A807" s="712"/>
      <c r="B807" s="712"/>
      <c r="C807" s="1640"/>
      <c r="D807" s="1619"/>
      <c r="E807" s="1619"/>
      <c r="F807" s="1619"/>
      <c r="G807" s="1639"/>
    </row>
    <row r="808" spans="1:9">
      <c r="A808" s="712"/>
      <c r="B808" s="796" t="s">
        <v>2602</v>
      </c>
      <c r="C808" s="1640"/>
      <c r="D808" s="1878" t="s">
        <v>2195</v>
      </c>
      <c r="E808" s="1878"/>
      <c r="F808" s="1878"/>
      <c r="G808" s="1639"/>
      <c r="I808" s="1737" t="s">
        <v>2420</v>
      </c>
    </row>
    <row r="809" spans="1:9">
      <c r="A809" s="712"/>
      <c r="B809" s="712"/>
      <c r="C809" s="1640"/>
      <c r="D809" s="1878"/>
      <c r="E809" s="1878"/>
      <c r="F809" s="1878"/>
      <c r="G809" s="1639"/>
    </row>
    <row r="810" spans="1:9">
      <c r="A810" s="1626"/>
      <c r="B810" s="1626"/>
      <c r="C810" s="1640"/>
      <c r="D810" s="1878"/>
      <c r="E810" s="1878"/>
      <c r="F810" s="1878"/>
      <c r="G810" s="1639"/>
    </row>
    <row r="811" spans="1:9">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2196</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2242</v>
      </c>
      <c r="E817" s="1870"/>
      <c r="F817" s="1870"/>
      <c r="G817" s="676"/>
    </row>
    <row r="818" spans="1:9" ht="14.25" customHeight="1">
      <c r="A818" s="712"/>
      <c r="B818" s="712"/>
      <c r="C818" s="554"/>
      <c r="D818" s="1821" t="s">
        <v>2197</v>
      </c>
      <c r="E818" s="1821"/>
      <c r="F818" s="1821"/>
      <c r="G818" s="676"/>
    </row>
    <row r="819" spans="1:9" ht="12.75" customHeight="1">
      <c r="A819" s="712"/>
      <c r="B819" s="712"/>
      <c r="C819" s="554"/>
      <c r="D819" s="1605"/>
      <c r="E819" s="1605"/>
      <c r="F819" s="1605"/>
      <c r="G819" s="676"/>
    </row>
    <row r="820" spans="1:9" ht="12.75" customHeight="1">
      <c r="A820" s="1642"/>
      <c r="B820" s="796" t="s">
        <v>2672</v>
      </c>
      <c r="C820" s="1640"/>
      <c r="D820" s="1821" t="s">
        <v>2198</v>
      </c>
      <c r="E820" s="1821"/>
      <c r="F820" s="1821"/>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26" t="s">
        <v>2199</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2672</v>
      </c>
      <c r="C834" s="1640"/>
      <c r="D834" s="1821" t="s">
        <v>2200</v>
      </c>
      <c r="E834" s="1821"/>
      <c r="F834" s="1821"/>
      <c r="G834" s="676"/>
      <c r="I834" s="1674" t="s">
        <v>2406</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2602</v>
      </c>
      <c r="C838" s="1644"/>
      <c r="D838" s="1924" t="s">
        <v>2201</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2202</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2602</v>
      </c>
      <c r="C847" s="1644"/>
      <c r="D847" s="1822" t="s">
        <v>2203</v>
      </c>
      <c r="E847" s="1822"/>
      <c r="F847" s="1822"/>
      <c r="G847" s="676"/>
      <c r="I847" s="1674" t="s">
        <v>2387</v>
      </c>
    </row>
    <row r="848" spans="1:9" ht="12.75" customHeight="1">
      <c r="A848" s="403"/>
      <c r="B848" s="403"/>
      <c r="C848" s="1644"/>
      <c r="D848" s="1822" t="s">
        <v>2204</v>
      </c>
      <c r="E848" s="1822"/>
      <c r="F848" s="1822"/>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2602</v>
      </c>
      <c r="C851" s="1644"/>
      <c r="D851" s="1822" t="s">
        <v>2205</v>
      </c>
      <c r="E851" s="1822"/>
      <c r="F851" s="1822"/>
      <c r="G851" s="676"/>
      <c r="I851" s="1674" t="s">
        <v>2407</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2243</v>
      </c>
      <c r="E858" s="1844"/>
      <c r="F858" s="1844"/>
      <c r="G858" s="1639"/>
    </row>
    <row r="859" spans="1:9" ht="12.75" customHeight="1">
      <c r="A859" s="1642"/>
      <c r="B859" s="1642"/>
      <c r="C859" s="313"/>
      <c r="D859" s="1925" t="s">
        <v>2207</v>
      </c>
      <c r="E859" s="1925"/>
      <c r="F859" s="1925"/>
      <c r="G859" s="1639"/>
    </row>
    <row r="860" spans="1:9" ht="12.75" customHeight="1">
      <c r="A860" s="1642"/>
      <c r="B860" s="1642"/>
      <c r="C860" s="313"/>
      <c r="D860" s="1650"/>
      <c r="E860" s="1650"/>
      <c r="F860" s="1650"/>
      <c r="G860" s="1639"/>
    </row>
    <row r="861" spans="1:9" ht="12.75" customHeight="1">
      <c r="A861" s="712"/>
      <c r="B861" s="796" t="s">
        <v>2672</v>
      </c>
      <c r="C861" s="554"/>
      <c r="D861" s="1834" t="s">
        <v>2208</v>
      </c>
      <c r="E861" s="1834"/>
      <c r="F861" s="1834"/>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2672</v>
      </c>
      <c r="C864" s="554"/>
      <c r="D864" s="1821" t="s">
        <v>2209</v>
      </c>
      <c r="E864" s="1845"/>
      <c r="F864" s="1845"/>
      <c r="G864" s="676"/>
      <c r="I864" s="1674" t="s">
        <v>2407</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2602</v>
      </c>
      <c r="C867" s="555"/>
      <c r="D867" s="1922" t="s">
        <v>2210</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2202</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2602</v>
      </c>
      <c r="C876" s="554"/>
      <c r="D876" s="1887" t="s">
        <v>2203</v>
      </c>
      <c r="E876" s="1887"/>
      <c r="F876" s="1887"/>
      <c r="G876" s="1639"/>
      <c r="I876" s="1674" t="s">
        <v>2387</v>
      </c>
    </row>
    <row r="877" spans="1:9" ht="12.75" customHeight="1">
      <c r="A877" s="712"/>
      <c r="B877" s="712"/>
      <c r="C877" s="554"/>
      <c r="D877" s="1887" t="s">
        <v>2204</v>
      </c>
      <c r="E877" s="1887"/>
      <c r="F877" s="1887"/>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2602</v>
      </c>
      <c r="C880" s="554"/>
      <c r="D880" s="1821" t="s">
        <v>2205</v>
      </c>
      <c r="E880" s="1821"/>
      <c r="F880" s="1821"/>
      <c r="G880" s="1639"/>
      <c r="I880" s="1674" t="s">
        <v>2407</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2244</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2250</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2672</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0" t="s">
        <v>2245</v>
      </c>
      <c r="E891" s="1880"/>
      <c r="F891" s="1880"/>
      <c r="G891" s="1639"/>
    </row>
    <row r="892" spans="1:9" ht="12.75" customHeight="1">
      <c r="A892" s="1616"/>
      <c r="B892" s="1616"/>
      <c r="C892" s="1646"/>
      <c r="D892" s="1834" t="s">
        <v>2211</v>
      </c>
      <c r="E892" s="1834"/>
      <c r="F892" s="1834"/>
      <c r="G892" s="1639"/>
    </row>
    <row r="893" spans="1:9" ht="12.75" customHeight="1">
      <c r="A893" s="1656"/>
      <c r="B893" s="1656"/>
      <c r="C893" s="1640"/>
      <c r="D893" s="5"/>
      <c r="E893" s="1638"/>
      <c r="F893" s="1638"/>
      <c r="G893" s="1639"/>
    </row>
    <row r="894" spans="1:9" ht="12.75" customHeight="1">
      <c r="A894" s="712"/>
      <c r="B894" s="796" t="s">
        <v>2602</v>
      </c>
      <c r="C894" s="554"/>
      <c r="D894" s="1821" t="s">
        <v>2215</v>
      </c>
      <c r="E894" s="1821"/>
      <c r="F894" s="1821"/>
      <c r="G894" s="676"/>
      <c r="I894" s="1674" t="s">
        <v>2371</v>
      </c>
    </row>
    <row r="895" spans="1:9" ht="12.75" customHeight="1">
      <c r="A895" s="1642"/>
      <c r="B895" s="1642"/>
      <c r="C895" s="554"/>
      <c r="D895" s="1821"/>
      <c r="E895" s="1821"/>
      <c r="F895" s="1821"/>
      <c r="G895" s="676"/>
    </row>
    <row r="896" spans="1:9" s="1672" customFormat="1" ht="12.75" customHeight="1">
      <c r="A896" s="1742"/>
      <c r="B896" s="1742"/>
      <c r="C896" s="1646"/>
      <c r="D896" s="1821" t="s">
        <v>2214</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2602</v>
      </c>
      <c r="C899" s="486"/>
      <c r="D899" s="1914" t="s">
        <v>2212</v>
      </c>
      <c r="E899" s="1914"/>
      <c r="F899" s="1914"/>
      <c r="G899" s="1639"/>
      <c r="I899" s="1674" t="s">
        <v>2370</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2602</v>
      </c>
      <c r="C908" s="1640"/>
      <c r="D908" s="1821" t="s">
        <v>2216</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2602</v>
      </c>
      <c r="C911" s="1640"/>
      <c r="D911" s="1878" t="s">
        <v>2217</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2602</v>
      </c>
      <c r="C916" s="1640"/>
      <c r="D916" s="1834" t="s">
        <v>2218</v>
      </c>
      <c r="E916" s="1834"/>
      <c r="F916" s="1834"/>
      <c r="G916" s="1639"/>
    </row>
    <row r="917" spans="1:9" ht="12.75" customHeight="1">
      <c r="A917" s="1656"/>
      <c r="B917" s="1656"/>
      <c r="C917" s="1640"/>
      <c r="D917" s="1610"/>
      <c r="E917" s="1638"/>
      <c r="F917" s="1638"/>
      <c r="G917" s="1639"/>
    </row>
    <row r="918" spans="1:9" ht="12.75" customHeight="1">
      <c r="A918" s="1656"/>
      <c r="B918" s="796" t="s">
        <v>2602</v>
      </c>
      <c r="C918" s="1640"/>
      <c r="D918" s="1834" t="s">
        <v>2219</v>
      </c>
      <c r="E918" s="1834"/>
      <c r="F918" s="1834"/>
      <c r="G918" s="1639"/>
    </row>
    <row r="919" spans="1:9" ht="12.75" customHeight="1">
      <c r="A919" s="487"/>
      <c r="B919" s="487"/>
      <c r="C919" s="486"/>
      <c r="D919" s="183"/>
      <c r="E919" s="676"/>
      <c r="F919" s="1639"/>
      <c r="G919" s="1639"/>
    </row>
    <row r="920" spans="1:9" ht="12.75" customHeight="1">
      <c r="A920" s="1652"/>
      <c r="B920" s="796" t="s">
        <v>2602</v>
      </c>
      <c r="C920" s="1653"/>
      <c r="D920" s="1914" t="s">
        <v>2213</v>
      </c>
      <c r="E920" s="1914"/>
      <c r="F920" s="1914"/>
      <c r="G920" s="1654"/>
      <c r="I920" s="1674" t="s">
        <v>2422</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2602</v>
      </c>
      <c r="C930" s="486"/>
      <c r="D930" s="1923" t="s">
        <v>2425</v>
      </c>
      <c r="E930" s="1923"/>
      <c r="F930" s="1923"/>
      <c r="G930" s="1639"/>
      <c r="I930" s="1674" t="s">
        <v>2422</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2602</v>
      </c>
      <c r="C938" s="486"/>
      <c r="D938" s="1833" t="s">
        <v>2423</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2602</v>
      </c>
      <c r="C945" s="1640"/>
      <c r="D945" s="1915" t="s">
        <v>2220</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2602</v>
      </c>
      <c r="C950" s="486"/>
      <c r="D950" s="1914" t="s">
        <v>2424</v>
      </c>
      <c r="E950" s="1914"/>
      <c r="F950" s="1914"/>
      <c r="G950" s="1639"/>
      <c r="I950" s="1674" t="s">
        <v>2422</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2221</v>
      </c>
      <c r="E955" s="1844"/>
      <c r="F955" s="1844"/>
      <c r="G955" s="676"/>
    </row>
    <row r="956" spans="1:9" ht="12.75" customHeight="1">
      <c r="A956" s="712"/>
      <c r="B956" s="796" t="s">
        <v>2602</v>
      </c>
      <c r="C956" s="554"/>
      <c r="D956" s="1834" t="s">
        <v>2246</v>
      </c>
      <c r="E956" s="1834"/>
      <c r="F956" s="1834"/>
      <c r="G956" s="676"/>
      <c r="I956" s="1674" t="s">
        <v>2422</v>
      </c>
    </row>
    <row r="957" spans="1:9" ht="12.75" customHeight="1">
      <c r="A957" s="1642"/>
      <c r="B957" s="1642"/>
      <c r="C957" s="554"/>
      <c r="D957" s="6"/>
      <c r="E957" s="6"/>
      <c r="F957" s="6"/>
      <c r="G957" s="676"/>
    </row>
    <row r="958" spans="1:9" ht="12.75" customHeight="1">
      <c r="A958" s="1642"/>
      <c r="B958" s="1642"/>
      <c r="C958" s="554"/>
      <c r="D958" s="1844" t="s">
        <v>2222</v>
      </c>
      <c r="E958" s="1844"/>
      <c r="F958" s="1844"/>
      <c r="G958" s="675"/>
    </row>
    <row r="959" spans="1:9" ht="12.75" customHeight="1">
      <c r="A959" s="712"/>
      <c r="B959" s="796" t="s">
        <v>2672</v>
      </c>
      <c r="C959" s="554"/>
      <c r="D959" s="1821" t="s">
        <v>2223</v>
      </c>
      <c r="E959" s="1821"/>
      <c r="F959" s="1821"/>
      <c r="G959" s="675"/>
      <c r="I959" s="1674" t="s">
        <v>2422</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2224</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2247</v>
      </c>
      <c r="E977" s="1844"/>
      <c r="F977" s="1844"/>
      <c r="G977" s="676"/>
    </row>
    <row r="978" spans="1:9" ht="12.75" customHeight="1">
      <c r="A978" s="1616"/>
      <c r="B978" s="1616"/>
      <c r="C978" s="1646"/>
      <c r="D978" s="1834" t="s">
        <v>2225</v>
      </c>
      <c r="E978" s="1834"/>
      <c r="F978" s="1834"/>
      <c r="G978" s="676"/>
    </row>
    <row r="979" spans="1:9" ht="12.75" customHeight="1">
      <c r="A979" s="1616"/>
      <c r="B979" s="1616"/>
      <c r="C979" s="1646"/>
      <c r="D979" s="6"/>
      <c r="E979" s="6"/>
      <c r="F979" s="1638"/>
      <c r="G979" s="675"/>
    </row>
    <row r="980" spans="1:9" ht="12.75" customHeight="1">
      <c r="A980" s="1642"/>
      <c r="B980" s="796" t="s">
        <v>2672</v>
      </c>
      <c r="C980" s="554"/>
      <c r="D980" s="1921" t="s">
        <v>2506</v>
      </c>
      <c r="E980" s="1921"/>
      <c r="F980" s="1921"/>
      <c r="G980" s="675"/>
      <c r="I980" s="1674" t="s">
        <v>2400</v>
      </c>
    </row>
    <row r="981" spans="1:9" ht="12.75" customHeight="1">
      <c r="A981" s="1642"/>
      <c r="B981" s="1642"/>
      <c r="C981" s="554"/>
      <c r="D981" s="1921"/>
      <c r="E981" s="1921"/>
      <c r="F981" s="1921"/>
      <c r="G981" s="675"/>
    </row>
    <row r="982" spans="1:9" ht="12.75" customHeight="1">
      <c r="A982" s="1642"/>
      <c r="B982" s="1642"/>
      <c r="C982" s="554"/>
      <c r="D982" s="1811"/>
      <c r="E982" s="1806" t="s">
        <v>2507</v>
      </c>
      <c r="F982" s="1811"/>
      <c r="G982" s="675"/>
    </row>
    <row r="983" spans="1:9" ht="12.75" customHeight="1">
      <c r="A983" s="1627"/>
      <c r="B983" s="1627"/>
      <c r="C983" s="555"/>
      <c r="D983" s="1832" t="s">
        <v>2505</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2602</v>
      </c>
      <c r="C988" s="313"/>
      <c r="D988" s="1822" t="s">
        <v>2226</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2602</v>
      </c>
      <c r="C993" s="313"/>
      <c r="D993" s="1822" t="s">
        <v>2227</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2602</v>
      </c>
      <c r="C996" s="554"/>
      <c r="D996" s="1834" t="s">
        <v>2228</v>
      </c>
      <c r="E996" s="1834"/>
      <c r="F996" s="1834"/>
      <c r="G996" s="675"/>
    </row>
    <row r="997" spans="1:7" ht="12.75" customHeight="1">
      <c r="A997" s="1642"/>
      <c r="B997" s="1642"/>
      <c r="C997" s="554"/>
      <c r="D997" s="6"/>
      <c r="E997" s="6"/>
      <c r="F997" s="6"/>
      <c r="G997" s="675"/>
    </row>
    <row r="998" spans="1:7" ht="12.75" customHeight="1">
      <c r="A998" s="712"/>
      <c r="B998" s="796" t="s">
        <v>2602</v>
      </c>
      <c r="C998" s="554"/>
      <c r="D998" s="1834" t="s">
        <v>2229</v>
      </c>
      <c r="E998" s="1834"/>
      <c r="F998" s="1834"/>
      <c r="G998" s="675"/>
    </row>
    <row r="999" spans="1:7" ht="12.75" customHeight="1">
      <c r="A999" s="1642"/>
      <c r="B999" s="1642"/>
      <c r="C999" s="554"/>
      <c r="D999" s="1610"/>
      <c r="E999" s="6"/>
      <c r="F999" s="6"/>
      <c r="G999" s="675"/>
    </row>
    <row r="1000" spans="1:7" ht="12.75" customHeight="1">
      <c r="A1000" s="712"/>
      <c r="B1000" s="796" t="s">
        <v>2672</v>
      </c>
      <c r="C1000" s="554"/>
      <c r="D1000" s="1834" t="s">
        <v>2230</v>
      </c>
      <c r="E1000" s="1834"/>
      <c r="F1000" s="1834"/>
      <c r="G1000" s="675"/>
    </row>
    <row r="1001" spans="1:7" ht="12.75" customHeight="1">
      <c r="A1001" s="1642"/>
      <c r="B1001" s="1642"/>
      <c r="C1001" s="554"/>
      <c r="D1001" s="1610"/>
      <c r="E1001" s="6"/>
      <c r="F1001" s="6"/>
      <c r="G1001" s="675"/>
    </row>
    <row r="1002" spans="1:7" ht="12.75" customHeight="1">
      <c r="A1002" s="712"/>
      <c r="B1002" s="796" t="s">
        <v>2602</v>
      </c>
      <c r="C1002" s="554"/>
      <c r="D1002" s="1821" t="s">
        <v>2231</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2602</v>
      </c>
      <c r="C1005" s="1659"/>
      <c r="D1005" s="1888" t="s">
        <v>2232</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2672</v>
      </c>
      <c r="C1008" s="1659"/>
      <c r="D1008" s="1920" t="s">
        <v>2233</v>
      </c>
      <c r="E1008" s="1920"/>
      <c r="F1008" s="1920"/>
      <c r="G1008" s="1660"/>
    </row>
    <row r="1009" spans="1:9" ht="12.75" customHeight="1">
      <c r="A1009" s="1659"/>
      <c r="B1009" s="1659"/>
      <c r="C1009" s="1659"/>
      <c r="D1009" s="1661"/>
      <c r="E1009" s="1662"/>
      <c r="F1009" s="1662"/>
      <c r="G1009" s="1660"/>
    </row>
    <row r="1010" spans="1:9" ht="12.75" customHeight="1">
      <c r="A1010" s="712"/>
      <c r="B1010" s="796" t="s">
        <v>2602</v>
      </c>
      <c r="C1010" s="554"/>
      <c r="D1010" s="1834" t="s">
        <v>2234</v>
      </c>
      <c r="E1010" s="1834"/>
      <c r="F1010" s="1834"/>
      <c r="G1010" s="676"/>
    </row>
    <row r="1011" spans="1:9" ht="12.75" customHeight="1">
      <c r="A1011" s="712"/>
      <c r="B1011" s="712"/>
      <c r="C1011" s="554"/>
      <c r="D1011" s="1610"/>
      <c r="E1011" s="6"/>
      <c r="F1011" s="6"/>
      <c r="G1011" s="676"/>
    </row>
    <row r="1012" spans="1:9" ht="12.75" customHeight="1">
      <c r="A1012" s="712"/>
      <c r="B1012" s="796" t="s">
        <v>2602</v>
      </c>
      <c r="C1012" s="554"/>
      <c r="D1012" s="1821" t="s">
        <v>2235</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2236</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2237</v>
      </c>
      <c r="E1017" s="1880"/>
      <c r="F1017" s="1880"/>
      <c r="G1017" s="676"/>
    </row>
    <row r="1018" spans="1:9" ht="12.75" customHeight="1">
      <c r="A1018" s="1627"/>
      <c r="B1018" s="1627"/>
      <c r="C1018" s="555"/>
      <c r="D1018" s="1913" t="s">
        <v>2238</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2252</v>
      </c>
      <c r="E1020" s="1880"/>
      <c r="F1020" s="1880"/>
      <c r="G1020" s="676"/>
      <c r="I1020" s="1674" t="s">
        <v>2372</v>
      </c>
    </row>
    <row r="1021" spans="1:9" ht="12.75" customHeight="1">
      <c r="A1021" s="1642"/>
      <c r="B1021" s="796" t="s">
        <v>2672</v>
      </c>
      <c r="C1021" s="554"/>
      <c r="D1021" s="1913" t="s">
        <v>1498</v>
      </c>
      <c r="E1021" s="1913"/>
      <c r="F1021" s="1913"/>
      <c r="G1021" s="676"/>
    </row>
    <row r="1022" spans="1:9" s="1672" customFormat="1" ht="12.75" customHeight="1">
      <c r="A1022" s="1642"/>
      <c r="B1022" s="712"/>
      <c r="C1022" s="554"/>
      <c r="D1022" s="1909" t="s">
        <v>2239</v>
      </c>
      <c r="E1022" s="1909"/>
      <c r="F1022" s="1909"/>
      <c r="G1022" s="676"/>
      <c r="I1022" s="1674"/>
    </row>
    <row r="1023" spans="1:9" ht="12.75" customHeight="1">
      <c r="A1023" s="1642"/>
      <c r="B1023" s="1642"/>
      <c r="C1023" s="554"/>
      <c r="D1023" s="1913"/>
      <c r="E1023" s="1913"/>
      <c r="F1023" s="1913"/>
      <c r="G1023" s="676"/>
    </row>
    <row r="1024" spans="1:9" ht="12.75" customHeight="1">
      <c r="A1024" s="1910" t="s">
        <v>2248</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1499</v>
      </c>
      <c r="E1026" s="1894"/>
      <c r="F1026" s="1894"/>
      <c r="G1026" s="684"/>
    </row>
    <row r="1027" spans="1:9" ht="12.75" customHeight="1">
      <c r="A1027" s="254"/>
      <c r="B1027" s="1675" t="s">
        <v>2672</v>
      </c>
      <c r="C1027" s="1676"/>
      <c r="D1027" s="1897" t="s">
        <v>1498</v>
      </c>
      <c r="E1027" s="1897"/>
      <c r="F1027" s="1897"/>
      <c r="G1027" s="684"/>
    </row>
    <row r="1028" spans="1:9" ht="12.75" customHeight="1">
      <c r="A1028" s="254"/>
      <c r="B1028" s="1672"/>
      <c r="C1028" s="1676"/>
      <c r="D1028" s="1897" t="s">
        <v>2249</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1181</v>
      </c>
      <c r="E1030" s="1911"/>
      <c r="F1030" s="1911"/>
      <c r="G1030" s="684"/>
      <c r="I1030" s="1674" t="s">
        <v>2401</v>
      </c>
    </row>
    <row r="1031" spans="1:9" ht="12.75" customHeight="1">
      <c r="A1031" s="501"/>
      <c r="B1031" s="501"/>
      <c r="C1031" s="500"/>
      <c r="D1031" s="1912" t="s">
        <v>1198</v>
      </c>
      <c r="E1031" s="1912"/>
      <c r="F1031" s="1912"/>
      <c r="G1031" s="1663"/>
    </row>
    <row r="1032" spans="1:9" ht="12.75" customHeight="1">
      <c r="A1032" s="712"/>
      <c r="B1032" s="1675" t="s">
        <v>2602</v>
      </c>
      <c r="C1032" s="555"/>
      <c r="D1032" s="1887" t="s">
        <v>1066</v>
      </c>
      <c r="E1032" s="1887"/>
      <c r="F1032" s="1887"/>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10" t="s">
        <v>2269</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2602</v>
      </c>
      <c r="C1040" s="788"/>
      <c r="D1040" s="1918" t="s">
        <v>2253</v>
      </c>
      <c r="E1040" s="1918"/>
      <c r="F1040" s="1918"/>
      <c r="G1040" s="788"/>
      <c r="I1040" s="1674" t="s">
        <v>2373</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2672</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2602</v>
      </c>
      <c r="C1050" s="788"/>
      <c r="D1050" s="1918" t="s">
        <v>2257</v>
      </c>
      <c r="E1050" s="1918"/>
      <c r="F1050" s="1918"/>
      <c r="G1050" s="788"/>
      <c r="I1050" s="1674" t="s">
        <v>2375</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2258</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2672</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2672</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2602</v>
      </c>
      <c r="C1065" s="788"/>
      <c r="D1065" s="1666" t="s">
        <v>2267</v>
      </c>
      <c r="E1065" s="1671"/>
      <c r="F1065" s="788"/>
      <c r="G1065" s="788"/>
      <c r="I1065" s="1674" t="s">
        <v>2378</v>
      </c>
    </row>
    <row r="1066" spans="1:9" s="1672" customFormat="1">
      <c r="D1066" s="1919" t="s">
        <v>2268</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2602</v>
      </c>
      <c r="C1073" s="788"/>
      <c r="D1073" s="1916" t="s">
        <v>2260</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10" t="s">
        <v>2270</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2602</v>
      </c>
      <c r="C1083" s="788"/>
      <c r="D1083" s="1916" t="s">
        <v>2271</v>
      </c>
      <c r="E1083" s="1916"/>
      <c r="F1083" s="1916"/>
      <c r="G1083" s="788"/>
      <c r="I1083" s="1674" t="s">
        <v>2380</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2602</v>
      </c>
      <c r="C1087" s="788"/>
      <c r="D1087" s="1916" t="s">
        <v>2272</v>
      </c>
      <c r="E1087" s="1916"/>
      <c r="F1087" s="1916"/>
      <c r="G1087" s="788"/>
      <c r="I1087" s="1674" t="s">
        <v>2381</v>
      </c>
    </row>
    <row r="1088" spans="1:9" s="1672" customFormat="1">
      <c r="D1088" s="1916"/>
      <c r="E1088" s="1916"/>
      <c r="F1088" s="1916"/>
      <c r="I1088" s="1674"/>
    </row>
    <row r="1089" spans="1:9" s="1672" customFormat="1">
      <c r="D1089" s="1667"/>
      <c r="I1089" s="1674"/>
    </row>
    <row r="1090" spans="1:9">
      <c r="A1090" s="788"/>
      <c r="B1090" s="1675" t="s">
        <v>2602</v>
      </c>
      <c r="C1090" s="788"/>
      <c r="D1090" s="1916" t="s">
        <v>2428</v>
      </c>
      <c r="E1090" s="1916"/>
      <c r="F1090" s="1916"/>
      <c r="G1090" s="788"/>
      <c r="I1090" s="1674" t="s">
        <v>2426</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ht="12.6">
      <c r="B1096" s="1672"/>
      <c r="D1096" s="1667" t="s">
        <v>2427</v>
      </c>
    </row>
    <row r="1097" spans="1:9">
      <c r="A1097" s="788"/>
      <c r="B1097" s="1675" t="s">
        <v>2602</v>
      </c>
      <c r="C1097" s="788"/>
      <c r="D1097" s="1916" t="s">
        <v>2273</v>
      </c>
      <c r="E1097" s="1916"/>
      <c r="F1097" s="1916"/>
      <c r="G1097" s="788"/>
      <c r="I1097" s="1733" t="s">
        <v>2382</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2672</v>
      </c>
      <c r="C1101" s="788"/>
      <c r="D1101" s="1917" t="s">
        <v>2429</v>
      </c>
      <c r="E1101" s="1917"/>
      <c r="F1101" s="1917"/>
      <c r="G1101" s="788"/>
      <c r="I1101" s="1674" t="s">
        <v>2383</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2602</v>
      </c>
      <c r="D1105" s="1822" t="s">
        <v>2431</v>
      </c>
      <c r="E1105" s="1822"/>
      <c r="F1105" s="1822"/>
      <c r="I1105" s="1674" t="s">
        <v>2430</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37.799999999999997">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243" t="s">
        <v>105</v>
      </c>
      <c r="B8" s="2243"/>
      <c r="C8" s="2243"/>
      <c r="D8" s="2243"/>
      <c r="E8" s="2243"/>
      <c r="F8" s="2243"/>
      <c r="G8" s="2243"/>
      <c r="H8" s="2243"/>
      <c r="I8" s="2243"/>
      <c r="J8" s="2243"/>
      <c r="K8" s="2243"/>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3"/>
      <c r="AI8" s="2243"/>
      <c r="AJ8" s="2243"/>
      <c r="AK8" s="2243"/>
      <c r="AL8" s="2243"/>
      <c r="AM8" s="1475"/>
      <c r="AN8" s="1475"/>
      <c r="AO8" s="1475"/>
      <c r="AP8" s="1475"/>
      <c r="AQ8" s="1475"/>
      <c r="AR8" s="1475"/>
      <c r="AS8" s="1475"/>
      <c r="AT8" s="1475"/>
      <c r="AU8" s="1475"/>
      <c r="AV8" s="1475"/>
      <c r="AW8" s="1475"/>
      <c r="AX8" s="1475"/>
      <c r="AY8" s="1475"/>
    </row>
    <row r="9" spans="1:96" s="717" customFormat="1" ht="13.1">
      <c r="A9" s="2393" t="s">
        <v>1942</v>
      </c>
      <c r="B9" s="2393"/>
      <c r="C9" s="2393"/>
      <c r="D9" s="2393"/>
      <c r="E9" s="2393"/>
      <c r="F9" s="2393"/>
      <c r="G9" s="2393"/>
      <c r="H9" s="2393"/>
      <c r="I9" s="2393"/>
      <c r="J9" s="2393"/>
      <c r="K9" s="2393"/>
      <c r="L9" s="2393"/>
      <c r="M9" s="2393"/>
      <c r="N9" s="2393"/>
      <c r="O9" s="2393"/>
      <c r="P9" s="2393"/>
      <c r="Q9" s="2393"/>
      <c r="R9" s="2393"/>
      <c r="S9" s="2393"/>
      <c r="T9" s="2393"/>
      <c r="U9" s="2393"/>
      <c r="V9" s="2393"/>
      <c r="W9" s="2393"/>
      <c r="X9" s="2393"/>
      <c r="Y9" s="2393"/>
      <c r="Z9" s="2393"/>
      <c r="AA9" s="2393"/>
      <c r="AB9" s="2393"/>
      <c r="AC9" s="2393"/>
      <c r="AD9" s="2393"/>
      <c r="AE9" s="2393"/>
      <c r="AF9" s="2393"/>
      <c r="AG9" s="2393"/>
      <c r="AH9" s="2393"/>
      <c r="AI9" s="2393"/>
      <c r="AJ9" s="2393"/>
      <c r="AK9" s="2393"/>
      <c r="AL9" s="2393"/>
      <c r="AM9" s="1459"/>
      <c r="AN9" s="1459"/>
      <c r="AO9" s="1459"/>
      <c r="AP9" s="1459"/>
      <c r="AQ9" s="1459"/>
      <c r="AR9" s="1459"/>
      <c r="AS9" s="1459"/>
      <c r="AT9" s="1459"/>
      <c r="AU9" s="1459"/>
      <c r="AV9" s="1459"/>
      <c r="AW9" s="1459"/>
      <c r="AX9" s="1459"/>
      <c r="AY9" s="1459"/>
      <c r="CR9" s="25"/>
    </row>
    <row r="10" spans="1:96" ht="15" customHeight="1">
      <c r="A10" s="2308" t="s">
        <v>2446</v>
      </c>
      <c r="B10" s="2308"/>
      <c r="C10" s="2308"/>
      <c r="D10" s="2308"/>
      <c r="E10" s="2308"/>
      <c r="F10" s="2308"/>
      <c r="G10" s="2308"/>
      <c r="H10" s="2308"/>
      <c r="I10" s="2308"/>
      <c r="J10" s="2308"/>
      <c r="K10" s="2308"/>
      <c r="L10" s="2308"/>
      <c r="M10" s="2308"/>
      <c r="N10" s="2308"/>
      <c r="O10" s="2308"/>
      <c r="P10" s="2308"/>
      <c r="Q10" s="2308"/>
      <c r="R10" s="2308"/>
      <c r="S10" s="2308"/>
      <c r="T10" s="2308"/>
      <c r="U10" s="2308"/>
      <c r="V10" s="2308"/>
      <c r="W10" s="2308"/>
      <c r="X10" s="2308"/>
      <c r="Y10" s="2308"/>
      <c r="Z10" s="2308"/>
      <c r="AA10" s="2308"/>
      <c r="AB10" s="2308"/>
      <c r="AC10" s="2308"/>
      <c r="AD10" s="2308"/>
      <c r="AE10" s="2308"/>
      <c r="AF10" s="2308"/>
      <c r="AG10" s="2308"/>
      <c r="AH10" s="2308"/>
      <c r="AI10" s="2308"/>
      <c r="AJ10" s="2308"/>
      <c r="AK10" s="2308"/>
      <c r="AL10" s="2308"/>
      <c r="AM10" s="20"/>
      <c r="AN10" s="20"/>
      <c r="AO10" s="20"/>
      <c r="AP10" s="20"/>
      <c r="AQ10" s="20"/>
      <c r="AR10" s="20"/>
      <c r="AS10" s="20"/>
      <c r="AT10" s="20"/>
      <c r="AU10" s="20"/>
      <c r="AV10" s="20"/>
      <c r="AW10" s="20"/>
      <c r="AX10" s="20"/>
      <c r="AY10" s="20"/>
    </row>
    <row r="11" spans="1:96" ht="15" customHeight="1">
      <c r="A11" s="2393" t="s">
        <v>1962</v>
      </c>
      <c r="B11" s="2393"/>
      <c r="C11" s="2393"/>
      <c r="D11" s="2393"/>
      <c r="E11" s="2393"/>
      <c r="F11" s="2393"/>
      <c r="G11" s="2393"/>
      <c r="H11" s="2393"/>
      <c r="I11" s="2393"/>
      <c r="J11" s="2393"/>
      <c r="K11" s="2393"/>
      <c r="L11" s="2393"/>
      <c r="M11" s="2393"/>
      <c r="N11" s="2393"/>
      <c r="O11" s="2393"/>
      <c r="P11" s="2393"/>
      <c r="Q11" s="2393"/>
      <c r="R11" s="2393"/>
      <c r="S11" s="2393"/>
      <c r="T11" s="2393"/>
      <c r="U11" s="2393"/>
      <c r="V11" s="2393"/>
      <c r="W11" s="2393"/>
      <c r="X11" s="2393"/>
      <c r="Y11" s="2393"/>
      <c r="Z11" s="2393"/>
      <c r="AA11" s="2393"/>
      <c r="AB11" s="2393"/>
      <c r="AC11" s="2393"/>
      <c r="AD11" s="2393"/>
      <c r="AE11" s="2393"/>
      <c r="AF11" s="2393"/>
      <c r="AG11" s="2393"/>
      <c r="AH11" s="2393"/>
      <c r="AI11" s="2393"/>
      <c r="AJ11" s="2393"/>
      <c r="AK11" s="2393"/>
      <c r="AL11" s="2393"/>
      <c r="AM11" s="1459"/>
      <c r="AN11" s="1459"/>
      <c r="AO11" s="1459"/>
      <c r="AP11" s="1459"/>
      <c r="AQ11" s="1459"/>
      <c r="AR11" s="1459"/>
      <c r="AS11" s="1459"/>
      <c r="AT11" s="1459"/>
      <c r="AU11" s="1459"/>
      <c r="AV11" s="1459"/>
      <c r="AW11" s="1459"/>
      <c r="AX11" s="1459"/>
      <c r="AY11" s="1459"/>
    </row>
    <row r="12" spans="1:96" ht="12.6">
      <c r="A12" s="2408" t="s">
        <v>2480</v>
      </c>
      <c r="B12" s="2409"/>
      <c r="C12" s="2409"/>
      <c r="D12" s="2409"/>
      <c r="E12" s="2409"/>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c r="AF12" s="2409"/>
      <c r="AG12" s="2409"/>
      <c r="AH12" s="2409"/>
      <c r="AI12" s="2409"/>
      <c r="AJ12" s="2409"/>
      <c r="AK12" s="2409"/>
      <c r="AL12" s="2409"/>
      <c r="AM12" s="1465"/>
      <c r="AN12" s="1465"/>
      <c r="AO12" s="1465"/>
      <c r="AP12" s="1465"/>
      <c r="AQ12" s="1465"/>
      <c r="AR12" s="1465"/>
      <c r="AS12" s="1465"/>
      <c r="AT12" s="1465"/>
      <c r="AU12" s="1465"/>
      <c r="AV12" s="1465"/>
      <c r="AW12" s="1465"/>
      <c r="AX12" s="1465"/>
      <c r="AY12" s="1465"/>
    </row>
    <row r="13" spans="1:96" ht="13.1">
      <c r="A13" s="1817" t="s">
        <v>1382</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387" t="s">
        <v>2670</v>
      </c>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row>
    <row r="17" spans="1:96" ht="12.75" customHeight="1"/>
    <row r="18" spans="1:96" ht="12.75" customHeight="1">
      <c r="A18" s="134" t="s">
        <v>106</v>
      </c>
      <c r="C18" s="7"/>
      <c r="D18" s="7"/>
      <c r="E18" s="7"/>
      <c r="F18" s="7"/>
      <c r="G18" s="7"/>
      <c r="H18" s="2250" t="s">
        <v>2522</v>
      </c>
      <c r="I18" s="2295"/>
      <c r="J18" s="2295"/>
      <c r="K18" s="2295"/>
      <c r="L18" s="2295"/>
      <c r="M18" s="2295"/>
      <c r="N18" s="2295"/>
      <c r="O18" s="2295"/>
      <c r="P18" s="2295"/>
      <c r="Q18" s="2295"/>
      <c r="R18" s="2295"/>
      <c r="S18" s="2295"/>
      <c r="T18" s="2295"/>
      <c r="U18" s="2295"/>
      <c r="V18" s="2295"/>
      <c r="W18" s="2295"/>
      <c r="X18" s="2295"/>
      <c r="Y18" s="2295"/>
      <c r="Z18" s="2295"/>
      <c r="AA18" s="2295"/>
      <c r="AB18" s="2295"/>
      <c r="AC18" s="2295"/>
      <c r="AD18" s="2295"/>
      <c r="AE18" s="2295"/>
      <c r="AF18" s="2295"/>
      <c r="AG18" s="2295"/>
      <c r="AH18" s="2295"/>
      <c r="AI18" s="2295"/>
      <c r="AJ18" s="2295"/>
    </row>
    <row r="19" spans="1:96" ht="12.75" customHeight="1"/>
    <row r="20" spans="1:96" ht="14.25" customHeight="1">
      <c r="A20" s="2401" t="s">
        <v>936</v>
      </c>
      <c r="B20" s="2401"/>
      <c r="C20" s="2401"/>
      <c r="D20" s="2401"/>
      <c r="E20" s="2401"/>
      <c r="F20" s="2401"/>
      <c r="G20" s="2401"/>
      <c r="H20" s="2401"/>
      <c r="I20" s="2401"/>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1478"/>
      <c r="AN20" s="1478"/>
      <c r="AO20" s="1478"/>
      <c r="AP20" s="1478"/>
      <c r="AQ20" s="1478"/>
      <c r="AR20" s="1478"/>
      <c r="AS20" s="1478"/>
      <c r="AT20" s="1478"/>
      <c r="AU20" s="1478"/>
      <c r="AV20" s="1478"/>
      <c r="AW20" s="1478"/>
      <c r="AX20" s="1478"/>
      <c r="AY20" s="1478"/>
    </row>
    <row r="21" spans="1:96" ht="12.75" customHeight="1">
      <c r="A21" s="2411" t="s">
        <v>1112</v>
      </c>
      <c r="B21" s="2411"/>
      <c r="C21" s="2411"/>
      <c r="D21" s="2411"/>
      <c r="E21" s="2411"/>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0">
        <f>'Basis &amp; Credits'!AB56</f>
        <v>5510776</v>
      </c>
      <c r="N26" s="2410"/>
      <c r="O26" s="2410"/>
      <c r="P26" s="2410"/>
      <c r="Q26" s="241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30080000</v>
      </c>
      <c r="N27" s="1986"/>
      <c r="O27" s="1986"/>
      <c r="P27" s="1986"/>
      <c r="Q27" s="1986"/>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1" t="s">
        <v>578</v>
      </c>
      <c r="P33" s="1991"/>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813</v>
      </c>
      <c r="B117" s="35"/>
      <c r="C117" s="35"/>
    </row>
    <row r="118" spans="1:96" ht="12.6"/>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392"/>
      <c r="H122" s="2392"/>
      <c r="I122" s="239" t="s">
        <v>187</v>
      </c>
      <c r="L122" s="2392"/>
      <c r="M122" s="2392"/>
      <c r="N122" s="2392"/>
      <c r="O122" s="2526" t="s">
        <v>1494</v>
      </c>
      <c r="P122" s="2526"/>
      <c r="Q122" s="2526"/>
      <c r="R122" s="252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420"/>
      <c r="D124" s="2420"/>
      <c r="E124" s="2420"/>
      <c r="F124" s="2420"/>
      <c r="G124" s="2420"/>
      <c r="H124" s="2420"/>
      <c r="I124" s="2420"/>
      <c r="J124" s="2420"/>
      <c r="K124" s="242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663</v>
      </c>
      <c r="Y126" s="2392"/>
      <c r="Z126" s="2392"/>
      <c r="AA126" s="2392"/>
      <c r="AB126" s="2392"/>
      <c r="AC126" s="2392"/>
      <c r="AD126" s="2392"/>
      <c r="AE126" s="2392"/>
      <c r="AF126" s="2392"/>
      <c r="AG126" s="2392"/>
      <c r="AH126" s="2392"/>
      <c r="AI126" s="2392"/>
      <c r="AJ126" s="2392"/>
      <c r="AK126" s="2392"/>
    </row>
    <row r="127" spans="1:96" ht="12.6">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392" t="s">
        <v>2548</v>
      </c>
      <c r="Z129" s="2392"/>
      <c r="AA129" s="2392"/>
      <c r="AB129" s="2392"/>
      <c r="AC129" s="2392"/>
      <c r="AD129" s="2392"/>
      <c r="AE129" s="2392"/>
      <c r="AF129" s="2392"/>
      <c r="AG129" s="2392"/>
      <c r="AH129" s="2392"/>
      <c r="AI129" s="2392"/>
      <c r="AJ129" s="2392"/>
      <c r="AK129" s="2392"/>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2" t="s">
        <v>2669</v>
      </c>
      <c r="Z132" s="2392"/>
      <c r="AA132" s="2392"/>
      <c r="AB132" s="2392"/>
      <c r="AC132" s="2392"/>
      <c r="AD132" s="2392"/>
      <c r="AE132" s="2392"/>
      <c r="AF132" s="2392"/>
      <c r="AG132" s="2392"/>
      <c r="AH132" s="2392"/>
      <c r="AI132" s="2392"/>
      <c r="AJ132" s="2392"/>
      <c r="AK132" s="239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2"/>
      <c r="G150" s="2412"/>
      <c r="H150" s="2412"/>
      <c r="I150" s="2412"/>
      <c r="J150" s="2412"/>
      <c r="K150" s="2412"/>
      <c r="L150" s="2412"/>
      <c r="M150" s="2412"/>
      <c r="N150" s="2412"/>
      <c r="O150" s="2412"/>
      <c r="P150" s="2412"/>
      <c r="Q150" s="2412"/>
      <c r="R150" s="2412"/>
      <c r="S150" s="2412"/>
      <c r="T150" s="241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680</v>
      </c>
      <c r="F153" s="32"/>
      <c r="G153" s="32"/>
      <c r="H153" s="32"/>
      <c r="I153" s="32"/>
      <c r="J153" s="32"/>
      <c r="K153" s="32"/>
      <c r="L153" s="32"/>
      <c r="M153" s="32"/>
      <c r="N153" s="32"/>
      <c r="O153" s="2250" t="s">
        <v>2523</v>
      </c>
      <c r="P153" s="2295"/>
      <c r="Q153" s="2295"/>
      <c r="R153" s="2295"/>
      <c r="S153" s="2295"/>
      <c r="T153" s="2295"/>
      <c r="U153" s="2295"/>
      <c r="V153" s="2295"/>
      <c r="W153" s="2295"/>
      <c r="X153" s="2295"/>
      <c r="Y153" s="2295"/>
      <c r="Z153" s="2295"/>
      <c r="AA153" s="2295"/>
      <c r="AB153" s="2295"/>
      <c r="AC153" s="2295"/>
      <c r="AD153" s="2295"/>
      <c r="AE153" s="2295"/>
      <c r="AF153" s="2295"/>
      <c r="AG153" s="2295"/>
      <c r="AH153" s="2295"/>
    </row>
    <row r="154" spans="1:96" ht="12.75" customHeight="1">
      <c r="D154" s="466" t="s">
        <v>462</v>
      </c>
      <c r="F154" s="32"/>
      <c r="G154" s="32"/>
      <c r="H154" s="32"/>
      <c r="I154" s="32"/>
      <c r="J154" s="32"/>
      <c r="K154" s="32"/>
      <c r="L154" s="32"/>
      <c r="M154" s="32"/>
      <c r="N154" s="32"/>
      <c r="O154" s="2047" t="s">
        <v>2524</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2.6">
      <c r="D155" s="13" t="s">
        <v>464</v>
      </c>
      <c r="F155" s="13"/>
      <c r="G155" s="13"/>
      <c r="H155" s="13"/>
      <c r="I155" s="13"/>
      <c r="J155" s="13"/>
      <c r="K155" s="13"/>
      <c r="L155" s="13"/>
      <c r="M155" s="13"/>
      <c r="N155" s="13"/>
      <c r="O155" s="2394" t="s">
        <v>463</v>
      </c>
      <c r="P155" s="2394"/>
      <c r="Q155" s="2394"/>
      <c r="R155" s="2394"/>
      <c r="S155" s="2394"/>
      <c r="T155" s="2394"/>
      <c r="U155" s="2394"/>
      <c r="V155" s="2394"/>
      <c r="W155" s="2394"/>
      <c r="X155" s="2394"/>
      <c r="Y155" s="2394"/>
      <c r="Z155" s="2394"/>
      <c r="AA155" s="2394"/>
      <c r="AB155" s="2394"/>
      <c r="AC155" s="2394"/>
      <c r="AD155" s="2394"/>
      <c r="AE155" s="2394"/>
      <c r="AF155" s="2394"/>
      <c r="AG155" s="2394"/>
      <c r="AH155" s="2394"/>
      <c r="AZ155" s="25"/>
    </row>
    <row r="156" spans="1:96" ht="12.6">
      <c r="D156" s="32" t="s">
        <v>322</v>
      </c>
      <c r="F156" s="32"/>
      <c r="G156" s="32"/>
      <c r="H156" s="32"/>
      <c r="I156" s="32"/>
      <c r="J156" s="32"/>
      <c r="K156" s="32"/>
      <c r="L156" s="32"/>
      <c r="M156" s="32"/>
      <c r="N156" s="32"/>
      <c r="O156" s="2013" t="s">
        <v>2525</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316</v>
      </c>
    </row>
    <row r="157" spans="1:96" ht="13.1">
      <c r="D157" s="32" t="s">
        <v>323</v>
      </c>
      <c r="F157" s="32"/>
      <c r="G157" s="32"/>
      <c r="H157" s="32"/>
      <c r="I157" s="32"/>
      <c r="J157" s="32"/>
      <c r="K157" s="32"/>
      <c r="L157" s="32"/>
      <c r="M157" s="32"/>
      <c r="N157" s="32"/>
      <c r="O157" s="2250" t="s">
        <v>2526</v>
      </c>
      <c r="P157" s="2295"/>
      <c r="Q157" s="2295"/>
      <c r="R157" s="2295"/>
      <c r="S157" s="2295"/>
      <c r="T157" s="2295"/>
      <c r="U157" s="2295"/>
      <c r="V157" s="2295"/>
      <c r="W157" s="2295"/>
      <c r="X157" s="2295"/>
      <c r="Y157" s="14"/>
      <c r="Z157" s="14"/>
      <c r="AA157" s="14"/>
      <c r="AB157" s="14"/>
      <c r="AC157" s="14"/>
      <c r="AD157" s="14"/>
      <c r="AE157" s="14"/>
      <c r="AF157" s="14"/>
      <c r="BN157" s="36" t="s">
        <v>671</v>
      </c>
      <c r="BT157" s="12" t="s">
        <v>509</v>
      </c>
    </row>
    <row r="158" spans="1:96" ht="13.1">
      <c r="D158" s="32" t="s">
        <v>324</v>
      </c>
      <c r="F158" s="32"/>
      <c r="G158" s="32"/>
      <c r="H158" s="32"/>
      <c r="I158" s="32"/>
      <c r="J158" s="32"/>
      <c r="K158" s="32"/>
      <c r="L158" s="32"/>
      <c r="M158" s="32"/>
      <c r="N158" s="32"/>
      <c r="O158" s="2395">
        <v>95758</v>
      </c>
      <c r="P158" s="2395"/>
      <c r="Q158" s="2395"/>
      <c r="R158" s="2395"/>
      <c r="S158" s="15"/>
      <c r="T158" s="15"/>
      <c r="U158" s="15"/>
      <c r="V158" s="15"/>
      <c r="W158" s="15"/>
      <c r="X158" s="15"/>
      <c r="Y158" s="15"/>
      <c r="Z158" s="15"/>
      <c r="AA158" s="15"/>
      <c r="AB158" s="15"/>
      <c r="AC158" s="15"/>
      <c r="AD158" s="15"/>
      <c r="AE158" s="15"/>
      <c r="AF158" s="15"/>
      <c r="BN158" s="36" t="s">
        <v>672</v>
      </c>
      <c r="BT158" s="12" t="s">
        <v>510</v>
      </c>
    </row>
    <row r="159" spans="1:96" ht="13.1">
      <c r="D159" s="32" t="s">
        <v>325</v>
      </c>
      <c r="F159" s="32"/>
      <c r="G159" s="32"/>
      <c r="H159" s="32"/>
      <c r="I159" s="32"/>
      <c r="J159" s="32"/>
      <c r="K159" s="32"/>
      <c r="L159" s="32"/>
      <c r="M159" s="32"/>
      <c r="N159" s="32"/>
      <c r="O159" s="2397" t="s">
        <v>2527</v>
      </c>
      <c r="P159" s="2397"/>
      <c r="Q159" s="2397"/>
      <c r="R159" s="2397"/>
      <c r="S159" s="2397"/>
      <c r="T159" s="2397"/>
      <c r="V159" s="146" t="s">
        <v>277</v>
      </c>
      <c r="W159" s="2396"/>
      <c r="X159" s="2396"/>
      <c r="Y159" s="16"/>
      <c r="Z159" s="16"/>
      <c r="AA159" s="16"/>
      <c r="AB159" s="16"/>
      <c r="AC159" s="16"/>
      <c r="AD159" s="16"/>
      <c r="AE159" s="16"/>
      <c r="AF159" s="16"/>
      <c r="BN159" s="36" t="s">
        <v>349</v>
      </c>
      <c r="BT159" s="12" t="s">
        <v>511</v>
      </c>
    </row>
    <row r="160" spans="1:96" ht="13.1">
      <c r="D160" s="32" t="s">
        <v>326</v>
      </c>
      <c r="F160" s="32"/>
      <c r="G160" s="32"/>
      <c r="H160" s="32"/>
      <c r="I160" s="32"/>
      <c r="J160" s="32"/>
      <c r="K160" s="32"/>
      <c r="L160" s="32"/>
      <c r="M160" s="32"/>
      <c r="N160" s="32"/>
      <c r="O160" s="2397" t="s">
        <v>2528</v>
      </c>
      <c r="P160" s="2397"/>
      <c r="Q160" s="2397"/>
      <c r="R160" s="2397"/>
      <c r="S160" s="2397"/>
      <c r="T160" s="2397"/>
      <c r="U160" s="16"/>
      <c r="V160" s="16"/>
      <c r="W160" s="16"/>
      <c r="X160" s="16"/>
      <c r="Y160" s="16"/>
      <c r="Z160" s="16"/>
      <c r="AA160" s="16"/>
      <c r="AB160" s="16"/>
      <c r="AC160" s="16"/>
      <c r="AD160" s="16"/>
      <c r="AE160" s="16"/>
      <c r="AF160" s="16"/>
      <c r="BN160" s="36" t="s">
        <v>697</v>
      </c>
      <c r="BT160" s="12" t="s">
        <v>512</v>
      </c>
    </row>
    <row r="161" spans="1:72" ht="13.1">
      <c r="D161" s="32" t="s">
        <v>327</v>
      </c>
      <c r="F161" s="32"/>
      <c r="G161" s="32"/>
      <c r="H161" s="32"/>
      <c r="I161" s="32"/>
      <c r="J161" s="32"/>
      <c r="K161" s="32"/>
      <c r="L161" s="32"/>
      <c r="M161" s="32"/>
      <c r="N161" s="32"/>
      <c r="O161" s="2306" t="s">
        <v>2529</v>
      </c>
      <c r="P161" s="2306"/>
      <c r="Q161" s="2306"/>
      <c r="R161" s="2306"/>
      <c r="S161" s="2306"/>
      <c r="T161" s="2306"/>
      <c r="U161" s="2306"/>
      <c r="V161" s="2306"/>
      <c r="W161" s="2306"/>
      <c r="X161" s="2306"/>
      <c r="Y161" s="2306"/>
      <c r="Z161" s="2306"/>
      <c r="AA161" s="2306"/>
      <c r="AB161" s="2306"/>
      <c r="AC161" s="2306"/>
      <c r="AD161" s="2306"/>
      <c r="AE161" s="2306"/>
      <c r="AF161" s="2306"/>
      <c r="AG161" s="2306"/>
      <c r="AH161" s="2306"/>
      <c r="BJ161" s="12" t="s">
        <v>706</v>
      </c>
      <c r="BN161" s="36" t="s">
        <v>698</v>
      </c>
      <c r="BT161" s="12" t="s">
        <v>513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
      <c r="C164" s="141"/>
      <c r="D164" s="2421" t="s">
        <v>1450</v>
      </c>
      <c r="E164" s="2421"/>
      <c r="F164" s="2421"/>
      <c r="G164" s="2421"/>
      <c r="H164" s="2421"/>
      <c r="I164" s="2421"/>
      <c r="J164" s="2421"/>
      <c r="K164" s="2421"/>
      <c r="L164" s="2421"/>
      <c r="M164" s="2421"/>
      <c r="N164" s="2421"/>
      <c r="O164" s="2421"/>
      <c r="P164" s="2421"/>
      <c r="Q164" s="2421"/>
      <c r="R164" s="2421"/>
      <c r="S164" s="2421"/>
      <c r="T164" s="2421"/>
      <c r="U164" s="2421"/>
      <c r="V164" s="2421"/>
      <c r="W164" s="2421"/>
      <c r="X164" s="2421"/>
      <c r="Y164" s="2421"/>
      <c r="Z164" s="2421"/>
      <c r="AA164" s="2421"/>
      <c r="AB164" s="2421"/>
      <c r="AC164" s="2421"/>
      <c r="AD164" s="2421"/>
      <c r="AE164" s="2421"/>
      <c r="AF164" s="2421"/>
      <c r="AG164" s="2421"/>
      <c r="AH164" s="2421"/>
      <c r="AI164" s="39"/>
      <c r="AJ164" s="39"/>
      <c r="AK164" s="39"/>
      <c r="AL164" s="39"/>
      <c r="BN164" s="36" t="s">
        <v>701</v>
      </c>
      <c r="BT164" s="12" t="s">
        <v>516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
      <c r="A169" s="2337" t="s">
        <v>572</v>
      </c>
      <c r="B169" s="2337"/>
      <c r="C169" s="2337"/>
      <c r="D169" s="2337"/>
      <c r="E169" s="2337"/>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D169" s="2337"/>
      <c r="AE169" s="2337"/>
      <c r="AF169" s="2337"/>
      <c r="AG169" s="2337"/>
      <c r="AH169" s="2337"/>
      <c r="AI169" s="2337"/>
      <c r="AJ169" s="2337"/>
      <c r="AK169" s="2337"/>
      <c r="AL169" s="2337"/>
      <c r="AM169" s="144"/>
      <c r="AN169" s="144"/>
      <c r="AO169" s="144"/>
      <c r="AP169" s="144"/>
      <c r="AQ169" s="144"/>
      <c r="AR169" s="144"/>
      <c r="AS169" s="144"/>
      <c r="AT169" s="144"/>
      <c r="AU169" s="144"/>
      <c r="AV169" s="144"/>
      <c r="AW169" s="144"/>
      <c r="AX169" s="144"/>
      <c r="AY169" s="144"/>
      <c r="BN169" s="36" t="s">
        <v>710</v>
      </c>
      <c r="BT169" s="12" t="s">
        <v>521</v>
      </c>
    </row>
    <row r="170" spans="1:72" ht="13.6" thickBot="1">
      <c r="A170" s="2338"/>
      <c r="B170" s="2338"/>
      <c r="C170" s="2338"/>
      <c r="D170" s="233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D170" s="2338"/>
      <c r="AE170" s="2338"/>
      <c r="AF170" s="2338"/>
      <c r="AG170" s="2338"/>
      <c r="AH170" s="2338"/>
      <c r="AI170" s="2338"/>
      <c r="AJ170" s="2338"/>
      <c r="AK170" s="2338"/>
      <c r="AL170" s="233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
      <c r="A173" s="25"/>
      <c r="C173" s="38"/>
      <c r="D173" s="39" t="s">
        <v>330</v>
      </c>
      <c r="J173" s="2413" t="s">
        <v>389</v>
      </c>
      <c r="K173" s="2413"/>
      <c r="L173" s="2413"/>
      <c r="M173" s="2413"/>
      <c r="N173" s="2413"/>
      <c r="O173" s="2413"/>
      <c r="P173" s="2413"/>
      <c r="Q173" s="2413"/>
      <c r="R173" s="2413"/>
      <c r="S173" s="2413"/>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
      <c r="A174" s="25"/>
      <c r="C174" s="38"/>
      <c r="D174" s="58" t="s">
        <v>1405</v>
      </c>
      <c r="E174" s="25"/>
      <c r="F174" s="25"/>
      <c r="G174" s="25"/>
      <c r="H174" s="25"/>
      <c r="I174" s="25"/>
      <c r="J174" s="2013" t="s">
        <v>2530</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
      <c r="A175" s="25"/>
      <c r="C175" s="13"/>
      <c r="D175" s="58" t="s">
        <v>331</v>
      </c>
      <c r="F175" s="717"/>
      <c r="G175" s="717"/>
      <c r="H175" s="717"/>
      <c r="I175" s="717"/>
      <c r="J175" s="717"/>
      <c r="K175" s="717"/>
      <c r="L175" s="717"/>
      <c r="M175" s="717"/>
      <c r="N175" s="717"/>
      <c r="O175" s="42"/>
      <c r="Q175" s="25"/>
      <c r="R175" s="25"/>
      <c r="T175" s="717"/>
      <c r="U175" s="1991" t="s">
        <v>578</v>
      </c>
      <c r="V175" s="199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5">
        <v>21</v>
      </c>
      <c r="V176" s="2005"/>
      <c r="W176" s="4" t="s">
        <v>315</v>
      </c>
      <c r="X176" s="2416">
        <v>711</v>
      </c>
      <c r="Y176" s="2416"/>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
      <c r="A177" s="25"/>
      <c r="B177" s="12"/>
      <c r="C177" s="43"/>
      <c r="D177" s="25" t="s">
        <v>255</v>
      </c>
      <c r="E177" s="12"/>
      <c r="F177" s="12"/>
      <c r="G177" s="12"/>
      <c r="H177" s="12"/>
      <c r="I177" s="12"/>
      <c r="J177" s="12"/>
      <c r="K177" s="12"/>
      <c r="L177" s="12"/>
      <c r="M177" s="25"/>
      <c r="N177" s="12"/>
      <c r="O177" s="12"/>
      <c r="P177" s="12"/>
      <c r="Q177" s="12"/>
      <c r="R177" s="1991" t="s">
        <v>706</v>
      </c>
      <c r="S177" s="199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1"/>
      <c r="AG178" s="2251"/>
      <c r="AH178" s="4" t="s">
        <v>315</v>
      </c>
      <c r="AI178" s="2300"/>
      <c r="AJ178" s="2300"/>
      <c r="AK178" s="2300"/>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465</v>
      </c>
      <c r="E180" s="25"/>
      <c r="X180" s="1991" t="s">
        <v>706</v>
      </c>
      <c r="Y180" s="199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613</v>
      </c>
      <c r="E184" s="25"/>
      <c r="F184" s="25"/>
      <c r="G184" s="25"/>
      <c r="H184" s="25"/>
      <c r="I184" s="1981" t="str">
        <f>H18</f>
        <v>The Lyla</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
      <c r="A185" s="25"/>
      <c r="C185" s="45"/>
      <c r="D185" s="25" t="s">
        <v>614</v>
      </c>
      <c r="E185" s="25"/>
      <c r="F185" s="25"/>
      <c r="G185" s="25"/>
      <c r="H185" s="25"/>
      <c r="I185" s="1993"/>
      <c r="J185" s="1993"/>
      <c r="K185" s="1993"/>
      <c r="L185" s="1993"/>
      <c r="M185" s="1993"/>
      <c r="N185" s="1993"/>
      <c r="O185" s="1993"/>
      <c r="P185" s="1993"/>
      <c r="Q185" s="1993"/>
      <c r="R185" s="1993"/>
      <c r="S185" s="1993"/>
      <c r="T185" s="1993"/>
      <c r="U185" s="1993"/>
      <c r="V185" s="1993"/>
      <c r="W185" s="1993"/>
      <c r="X185" s="1993"/>
      <c r="Y185" s="1993"/>
      <c r="Z185" s="1993"/>
      <c r="AA185" s="1993"/>
      <c r="AB185" s="1993"/>
      <c r="AC185" s="1993"/>
      <c r="AD185" s="1993"/>
      <c r="AE185" s="1993"/>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406" t="s">
        <v>2531</v>
      </c>
      <c r="F187" s="2406"/>
      <c r="G187" s="2406"/>
      <c r="H187" s="2406"/>
      <c r="I187" s="2406"/>
      <c r="J187" s="2406"/>
      <c r="K187" s="2406"/>
      <c r="L187" s="2406"/>
      <c r="M187" s="2406"/>
      <c r="N187" s="2406"/>
      <c r="O187" s="2406"/>
      <c r="P187" s="2406"/>
      <c r="Q187" s="2406"/>
      <c r="R187" s="2406"/>
      <c r="S187" s="2406"/>
      <c r="T187" s="2406"/>
      <c r="U187" s="2406"/>
      <c r="V187" s="2406"/>
      <c r="W187" s="2406"/>
      <c r="X187" s="2406"/>
      <c r="Y187" s="2406"/>
      <c r="Z187" s="2406"/>
      <c r="AA187" s="2406"/>
      <c r="AB187" s="2406"/>
      <c r="AC187" s="2406"/>
      <c r="AD187" s="2406"/>
      <c r="AE187" s="2406"/>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407"/>
      <c r="F188" s="2407"/>
      <c r="G188" s="2407"/>
      <c r="H188" s="2407"/>
      <c r="I188" s="2407"/>
      <c r="J188" s="2407"/>
      <c r="K188" s="2407"/>
      <c r="L188" s="2407"/>
      <c r="M188" s="2407"/>
      <c r="N188" s="2407"/>
      <c r="O188" s="2407"/>
      <c r="P188" s="2407"/>
      <c r="Q188" s="2407"/>
      <c r="R188" s="2407"/>
      <c r="S188" s="2407"/>
      <c r="T188" s="2407"/>
      <c r="U188" s="2407"/>
      <c r="V188" s="2407"/>
      <c r="W188" s="2407"/>
      <c r="X188" s="2407"/>
      <c r="Y188" s="2407"/>
      <c r="Z188" s="2407"/>
      <c r="AA188" s="2407"/>
      <c r="AB188" s="2407"/>
      <c r="AC188" s="2407"/>
      <c r="AD188" s="2407"/>
      <c r="AE188" s="2407"/>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615</v>
      </c>
      <c r="E189" s="25"/>
      <c r="I189" s="2013" t="s">
        <v>2526</v>
      </c>
      <c r="J189" s="2013"/>
      <c r="K189" s="2013"/>
      <c r="L189" s="2013"/>
      <c r="M189" s="2013"/>
      <c r="N189" s="2013"/>
      <c r="O189" s="2013"/>
      <c r="P189" s="2013"/>
      <c r="Q189" s="25" t="s">
        <v>617</v>
      </c>
      <c r="T189" s="2013" t="s">
        <v>71</v>
      </c>
      <c r="U189" s="2013"/>
      <c r="V189" s="2013"/>
      <c r="W189" s="2013"/>
      <c r="X189" s="2013"/>
      <c r="Y189" s="2013"/>
      <c r="Z189" s="2013"/>
      <c r="AA189" s="2013"/>
      <c r="AB189" s="2013"/>
      <c r="AC189" s="2013"/>
      <c r="AD189" s="2013"/>
      <c r="AE189" s="2013"/>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
      <c r="A190" s="25"/>
      <c r="C190" s="46"/>
      <c r="D190" s="25" t="s">
        <v>618</v>
      </c>
      <c r="E190" s="25"/>
      <c r="F190" s="25"/>
      <c r="G190" s="25"/>
      <c r="I190" s="1993">
        <v>95758</v>
      </c>
      <c r="J190" s="1993"/>
      <c r="K190" s="1993"/>
      <c r="L190" s="1993"/>
      <c r="M190" s="1993"/>
      <c r="N190" s="1993"/>
      <c r="O190" s="25" t="s">
        <v>620</v>
      </c>
      <c r="P190" s="25"/>
      <c r="Q190" s="25"/>
      <c r="R190" s="25"/>
      <c r="S190" s="25"/>
      <c r="T190" s="2404">
        <v>96.15</v>
      </c>
      <c r="U190" s="2404"/>
      <c r="V190" s="2404"/>
      <c r="W190" s="2404"/>
      <c r="X190" s="2404"/>
      <c r="Y190" s="2404"/>
      <c r="Z190" s="2404"/>
      <c r="AA190" s="2404"/>
      <c r="AB190" s="2404"/>
      <c r="AC190" s="2404"/>
      <c r="AD190" s="2404"/>
      <c r="AE190" s="2404"/>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1">
      <c r="A191" s="25"/>
      <c r="C191" s="46"/>
      <c r="D191" s="25" t="s">
        <v>495</v>
      </c>
      <c r="E191" s="25"/>
      <c r="F191" s="25"/>
      <c r="G191" s="25"/>
      <c r="H191" s="25"/>
      <c r="I191" s="25"/>
      <c r="J191" s="25"/>
      <c r="K191" s="25"/>
      <c r="L191" s="25"/>
      <c r="M191" s="25"/>
      <c r="N191" s="2406" t="s">
        <v>2532</v>
      </c>
      <c r="O191" s="2406"/>
      <c r="P191" s="2406"/>
      <c r="Q191" s="2406"/>
      <c r="R191" s="2406"/>
      <c r="S191" s="2406"/>
      <c r="T191" s="2406"/>
      <c r="U191" s="2406"/>
      <c r="V191" s="2406"/>
      <c r="W191" s="2406"/>
      <c r="X191" s="2406"/>
      <c r="Y191" s="2406"/>
      <c r="Z191" s="2406"/>
      <c r="AA191" s="2406"/>
      <c r="AB191" s="2406"/>
      <c r="AC191" s="2406"/>
      <c r="AD191" s="2406"/>
      <c r="AE191" s="2406"/>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1">
      <c r="A192" s="25"/>
      <c r="C192" s="46"/>
      <c r="D192" s="25"/>
      <c r="E192" s="25"/>
      <c r="F192" s="25"/>
      <c r="G192" s="25"/>
      <c r="H192" s="25"/>
      <c r="I192" s="25"/>
      <c r="J192" s="25"/>
      <c r="K192" s="25"/>
      <c r="L192" s="25"/>
      <c r="M192" s="170"/>
      <c r="N192" s="2407"/>
      <c r="O192" s="2407"/>
      <c r="P192" s="2407"/>
      <c r="Q192" s="2407"/>
      <c r="R192" s="2407"/>
      <c r="S192" s="2407"/>
      <c r="T192" s="2407"/>
      <c r="U192" s="2407"/>
      <c r="V192" s="2407"/>
      <c r="W192" s="2407"/>
      <c r="X192" s="2407"/>
      <c r="Y192" s="2407"/>
      <c r="Z192" s="2407"/>
      <c r="AA192" s="2407"/>
      <c r="AB192" s="2407"/>
      <c r="AC192" s="2407"/>
      <c r="AD192" s="2407"/>
      <c r="AE192" s="2407"/>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3.1">
      <c r="A193" s="25"/>
      <c r="B193" s="717"/>
      <c r="C193" s="46"/>
      <c r="D193" s="685" t="s">
        <v>1964</v>
      </c>
      <c r="E193" s="25"/>
      <c r="F193" s="25"/>
      <c r="G193" s="25"/>
      <c r="H193" s="25"/>
      <c r="I193" s="25"/>
      <c r="J193" s="25"/>
      <c r="K193" s="25"/>
      <c r="L193" s="25"/>
      <c r="M193" s="170"/>
      <c r="N193" s="1467"/>
      <c r="O193" s="1467"/>
      <c r="P193" s="1467"/>
      <c r="Q193" s="1467"/>
      <c r="R193" s="1467"/>
      <c r="S193" s="1467"/>
      <c r="T193" s="2417" t="s">
        <v>2533</v>
      </c>
      <c r="U193" s="2417"/>
      <c r="V193" s="2417"/>
      <c r="W193" s="2417"/>
      <c r="X193" s="2417"/>
      <c r="Y193" s="2417"/>
      <c r="Z193" s="2417"/>
      <c r="AA193" s="2417"/>
      <c r="AB193" s="2417"/>
      <c r="AC193" s="2417"/>
      <c r="AD193" s="2417"/>
      <c r="AE193" s="2417"/>
      <c r="AF193" s="2417"/>
      <c r="AG193" s="2417"/>
      <c r="AH193" s="2417"/>
      <c r="AI193" s="2417"/>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3.1">
      <c r="A194" s="25"/>
      <c r="C194" s="46"/>
      <c r="D194" s="25" t="s">
        <v>340</v>
      </c>
      <c r="E194" s="25"/>
      <c r="F194" s="25"/>
      <c r="G194" s="25"/>
      <c r="H194" s="25"/>
      <c r="I194" s="25"/>
      <c r="J194" s="25"/>
      <c r="K194" s="25"/>
      <c r="L194" s="25"/>
      <c r="M194" s="25"/>
      <c r="N194" s="25"/>
      <c r="O194" s="25"/>
      <c r="P194" s="25"/>
      <c r="Q194" s="25"/>
      <c r="R194" s="25"/>
      <c r="T194" s="1991" t="s">
        <v>578</v>
      </c>
      <c r="U194" s="1991"/>
      <c r="W194" s="25" t="s">
        <v>722</v>
      </c>
      <c r="X194" s="25"/>
      <c r="Y194" s="25"/>
      <c r="Z194" s="25"/>
      <c r="AA194" s="25"/>
      <c r="AB194" s="25"/>
      <c r="AC194" s="25"/>
      <c r="AD194" s="25"/>
      <c r="AE194" s="25"/>
      <c r="AF194" s="25"/>
      <c r="AG194" s="25"/>
      <c r="AH194" s="1991">
        <v>7</v>
      </c>
      <c r="AI194" s="1991"/>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157" t="s">
        <v>706</v>
      </c>
      <c r="U195" s="2157"/>
      <c r="V195" s="12"/>
      <c r="W195" s="25" t="s">
        <v>723</v>
      </c>
      <c r="X195" s="25"/>
      <c r="Y195" s="25"/>
      <c r="Z195" s="25"/>
      <c r="AA195" s="25"/>
      <c r="AB195" s="25"/>
      <c r="AC195" s="25"/>
      <c r="AD195" s="25"/>
      <c r="AE195" s="25"/>
      <c r="AF195" s="25"/>
      <c r="AG195" s="25"/>
      <c r="AH195" s="1991">
        <v>9</v>
      </c>
      <c r="AI195" s="1991"/>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1">
      <c r="A196" s="25"/>
      <c r="C196" s="46"/>
      <c r="D196" s="177" t="s">
        <v>174</v>
      </c>
      <c r="E196" s="25"/>
      <c r="F196" s="25"/>
      <c r="G196" s="25"/>
      <c r="H196" s="25"/>
      <c r="I196" s="25"/>
      <c r="J196" s="25"/>
      <c r="K196" s="25"/>
      <c r="L196" s="25"/>
      <c r="M196" s="25"/>
      <c r="N196" s="25"/>
      <c r="O196" s="25"/>
      <c r="P196" s="25"/>
      <c r="Q196" s="25"/>
      <c r="R196" s="25"/>
      <c r="T196" s="2157" t="s">
        <v>706</v>
      </c>
      <c r="U196" s="2157"/>
      <c r="W196" s="25" t="s">
        <v>724</v>
      </c>
      <c r="X196" s="25"/>
      <c r="Y196" s="25"/>
      <c r="Z196" s="25"/>
      <c r="AA196" s="25"/>
      <c r="AB196" s="25"/>
      <c r="AC196" s="25"/>
      <c r="AD196" s="25"/>
      <c r="AE196" s="25"/>
      <c r="AF196" s="25"/>
      <c r="AG196" s="25"/>
      <c r="AH196" s="1991">
        <v>6</v>
      </c>
      <c r="AI196" s="199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57" t="s">
        <v>626</v>
      </c>
      <c r="U197" s="215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1" t="s">
        <v>706</v>
      </c>
      <c r="Z198" s="199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81" t="s">
        <v>403</v>
      </c>
      <c r="E203" s="1981"/>
      <c r="F203" s="1981"/>
      <c r="G203" s="1981"/>
      <c r="H203" s="1981"/>
      <c r="I203" s="1981"/>
      <c r="J203" s="1981"/>
      <c r="K203" s="1981"/>
      <c r="L203" s="1981"/>
      <c r="M203" s="1981"/>
      <c r="P203" s="2399">
        <f>M26</f>
        <v>5510776</v>
      </c>
      <c r="Q203" s="2400"/>
      <c r="R203" s="2400"/>
      <c r="S203" s="2400"/>
      <c r="T203" s="2400"/>
      <c r="U203" s="2400"/>
      <c r="V203" s="25"/>
      <c r="W203" s="25"/>
      <c r="X203" s="25"/>
      <c r="Y203" s="25"/>
      <c r="Z203" s="2414" t="s">
        <v>2534</v>
      </c>
      <c r="AA203" s="2414"/>
      <c r="AB203" s="2414"/>
      <c r="AC203" s="2414"/>
      <c r="AD203" s="2414"/>
      <c r="AE203" s="2414"/>
      <c r="AF203" s="241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418" t="s">
        <v>1471</v>
      </c>
      <c r="E204" s="1981"/>
      <c r="F204" s="1981"/>
      <c r="G204" s="1981"/>
      <c r="H204" s="1981"/>
      <c r="I204" s="1981"/>
      <c r="J204" s="1981"/>
      <c r="K204" s="1981"/>
      <c r="L204" s="1981"/>
      <c r="M204" s="1981"/>
      <c r="P204" s="2400">
        <f>M27</f>
        <v>30080000</v>
      </c>
      <c r="Q204" s="2400"/>
      <c r="R204" s="2400"/>
      <c r="S204" s="2400"/>
      <c r="T204" s="2400"/>
      <c r="U204" s="2400"/>
      <c r="V204" s="47"/>
      <c r="W204" s="58" t="s">
        <v>2147</v>
      </c>
      <c r="Z204" s="2414"/>
      <c r="AA204" s="2414"/>
      <c r="AB204" s="2414"/>
      <c r="AC204" s="2414"/>
      <c r="AD204" s="2414"/>
      <c r="AE204" s="2414"/>
      <c r="AF204" s="2414"/>
      <c r="AG204" s="25" t="s">
        <v>1472</v>
      </c>
      <c r="AH204" s="25"/>
      <c r="AI204" s="25"/>
      <c r="AJ204" s="25"/>
      <c r="AK204" s="25"/>
      <c r="AL204" s="25"/>
      <c r="AM204" s="25"/>
      <c r="AN204" s="25"/>
      <c r="AO204" s="25"/>
      <c r="AP204" s="1991" t="s">
        <v>706</v>
      </c>
      <c r="AQ204" s="1991"/>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5"/>
      <c r="AA205" s="2415"/>
      <c r="AB205" s="2415"/>
      <c r="AC205" s="2415"/>
      <c r="AD205" s="2415"/>
      <c r="AE205" s="2415"/>
      <c r="AF205" s="2415"/>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1">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1">
      <c r="A207" s="25"/>
      <c r="C207" s="45"/>
      <c r="D207" s="2295" t="s">
        <v>2535</v>
      </c>
      <c r="E207" s="2295"/>
      <c r="F207" s="2295"/>
      <c r="G207" s="2295"/>
      <c r="H207" s="2295"/>
      <c r="I207" s="2295"/>
      <c r="J207" s="2295"/>
      <c r="K207" s="2295"/>
      <c r="L207" s="2295"/>
      <c r="M207" s="229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1">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
      <c r="C210" s="45"/>
      <c r="D210" s="2295" t="s">
        <v>1151</v>
      </c>
      <c r="E210" s="2295"/>
      <c r="F210" s="2295"/>
      <c r="G210" s="2295"/>
      <c r="H210" s="2295"/>
      <c r="I210" s="2295"/>
      <c r="J210" s="2295"/>
      <c r="K210" s="2295"/>
      <c r="L210" s="2295"/>
      <c r="M210" s="2295"/>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1"/>
      <c r="Z211" s="199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504" t="s">
        <v>626</v>
      </c>
      <c r="E213" s="2504"/>
      <c r="F213" s="2504"/>
      <c r="G213" s="2504"/>
      <c r="H213" s="2504"/>
      <c r="I213" s="2504"/>
      <c r="J213" s="2504"/>
      <c r="K213" s="2504"/>
      <c r="L213" s="2504"/>
      <c r="M213" s="2504"/>
      <c r="N213" s="2504"/>
      <c r="O213" s="2504"/>
      <c r="P213" s="2504"/>
      <c r="Q213" s="2504"/>
      <c r="R213" s="2504"/>
      <c r="S213" s="2504"/>
      <c r="T213" s="2504"/>
      <c r="U213" s="2504"/>
      <c r="V213" s="2504"/>
      <c r="W213" s="2504"/>
      <c r="X213" s="2504"/>
      <c r="Y213" s="2504"/>
      <c r="Z213" s="2504"/>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4"/>
      <c r="AC214" s="2484"/>
      <c r="AD214" s="2484"/>
      <c r="AE214" s="2484"/>
      <c r="AF214" s="2484"/>
      <c r="AG214" s="2484"/>
      <c r="AH214" s="2484"/>
      <c r="AI214" s="2484"/>
      <c r="AJ214" s="2484"/>
      <c r="AK214" s="2484"/>
      <c r="AL214" s="2484"/>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484"/>
      <c r="AC215" s="2484"/>
      <c r="AD215" s="2484"/>
      <c r="AE215" s="2484"/>
      <c r="AF215" s="2484"/>
      <c r="AG215" s="2484"/>
      <c r="AH215" s="2484"/>
      <c r="AI215" s="2484"/>
      <c r="AJ215" s="2484"/>
      <c r="AK215" s="2484"/>
      <c r="AL215" s="2484"/>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5" t="s">
        <v>1179</v>
      </c>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337" t="s">
        <v>573</v>
      </c>
      <c r="B221" s="2337"/>
      <c r="C221" s="2337"/>
      <c r="D221" s="2337"/>
      <c r="E221" s="2337"/>
      <c r="F221" s="2337"/>
      <c r="G221" s="2337"/>
      <c r="H221" s="2337"/>
      <c r="I221" s="2337"/>
      <c r="J221" s="2337"/>
      <c r="K221" s="2337"/>
      <c r="L221" s="2337"/>
      <c r="M221" s="2337"/>
      <c r="N221" s="2337"/>
      <c r="O221" s="2337"/>
      <c r="P221" s="2337"/>
      <c r="Q221" s="2337"/>
      <c r="R221" s="2337"/>
      <c r="S221" s="2337"/>
      <c r="T221" s="2337"/>
      <c r="U221" s="2337"/>
      <c r="V221" s="2337"/>
      <c r="W221" s="2337"/>
      <c r="X221" s="2337"/>
      <c r="Y221" s="2337"/>
      <c r="Z221" s="2337"/>
      <c r="AA221" s="2337"/>
      <c r="AB221" s="2337"/>
      <c r="AC221" s="2337"/>
      <c r="AD221" s="2337"/>
      <c r="AE221" s="2337"/>
      <c r="AF221" s="2337"/>
      <c r="AG221" s="2337"/>
      <c r="AH221" s="2337"/>
      <c r="AI221" s="2337"/>
      <c r="AJ221" s="2337"/>
      <c r="AK221" s="2337"/>
      <c r="AL221" s="2337"/>
      <c r="AM221" s="144"/>
      <c r="AN221" s="144"/>
      <c r="AO221" s="144"/>
      <c r="AP221" s="144"/>
      <c r="AQ221" s="144"/>
      <c r="AR221" s="144"/>
      <c r="AS221" s="144"/>
      <c r="AT221" s="144"/>
      <c r="AU221" s="144"/>
      <c r="AV221" s="144"/>
      <c r="AW221" s="144"/>
      <c r="AX221" s="144"/>
      <c r="AY221" s="144"/>
      <c r="BA221" s="58"/>
    </row>
    <row r="222" spans="1:96" ht="13.6" thickBot="1">
      <c r="A222" s="2338"/>
      <c r="B222" s="2338"/>
      <c r="C222" s="2338"/>
      <c r="D222" s="2338"/>
      <c r="E222" s="2338"/>
      <c r="F222" s="2338"/>
      <c r="G222" s="2338"/>
      <c r="H222" s="2338"/>
      <c r="I222" s="2338"/>
      <c r="J222" s="2338"/>
      <c r="K222" s="2338"/>
      <c r="L222" s="2338"/>
      <c r="M222" s="2338"/>
      <c r="N222" s="2338"/>
      <c r="O222" s="2338"/>
      <c r="P222" s="2338"/>
      <c r="Q222" s="2338"/>
      <c r="R222" s="2338"/>
      <c r="S222" s="2338"/>
      <c r="T222" s="2338"/>
      <c r="U222" s="2338"/>
      <c r="V222" s="2338"/>
      <c r="W222" s="2338"/>
      <c r="X222" s="2338"/>
      <c r="Y222" s="2338"/>
      <c r="Z222" s="2338"/>
      <c r="AA222" s="2338"/>
      <c r="AB222" s="2338"/>
      <c r="AC222" s="2338"/>
      <c r="AD222" s="2338"/>
      <c r="AE222" s="2338"/>
      <c r="AF222" s="2338"/>
      <c r="AG222" s="2338"/>
      <c r="AH222" s="2338"/>
      <c r="AI222" s="2338"/>
      <c r="AJ222" s="2338"/>
      <c r="AK222" s="2338"/>
      <c r="AL222" s="2338"/>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626</v>
      </c>
      <c r="AJ225" s="1991"/>
      <c r="AL225" s="58"/>
      <c r="AM225" s="239"/>
      <c r="AN225" s="239"/>
      <c r="AO225" s="239"/>
      <c r="AP225" s="239"/>
      <c r="AQ225" s="239"/>
      <c r="AR225" s="239"/>
      <c r="AS225" s="239"/>
      <c r="AT225" s="239"/>
      <c r="AU225" s="239"/>
      <c r="AV225" s="239"/>
      <c r="AW225" s="239"/>
      <c r="AX225" s="239"/>
      <c r="AY225" s="239"/>
      <c r="BO225" s="61"/>
    </row>
    <row r="226" spans="1:69" ht="12.6">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578</v>
      </c>
      <c r="AJ226" s="199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626</v>
      </c>
      <c r="AJ227" s="199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626</v>
      </c>
      <c r="AJ228" s="199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2</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6">
      <c r="D231" s="57" t="s">
        <v>503</v>
      </c>
      <c r="E231" s="57"/>
      <c r="F231" s="57"/>
      <c r="G231" s="57"/>
      <c r="H231" s="57"/>
      <c r="I231" s="57"/>
      <c r="J231" s="57"/>
      <c r="K231" s="7"/>
      <c r="M231" s="2405" t="str">
        <f>H16</f>
        <v>Riverside Charitable Corporation, a California Nonprofit Public Benefit Corporation</v>
      </c>
      <c r="N231" s="2405"/>
      <c r="O231" s="2405"/>
      <c r="P231" s="2405"/>
      <c r="Q231" s="2405"/>
      <c r="R231" s="2405"/>
      <c r="S231" s="2405"/>
      <c r="T231" s="2405"/>
      <c r="U231" s="2405"/>
      <c r="V231" s="2405"/>
      <c r="W231" s="2405"/>
      <c r="X231" s="2405"/>
      <c r="Y231" s="2405"/>
      <c r="Z231" s="2405"/>
      <c r="AA231" s="2405"/>
      <c r="AB231" s="2405"/>
      <c r="AC231" s="2405"/>
      <c r="AD231" s="2405"/>
      <c r="AE231" s="2405"/>
      <c r="AF231" s="2405"/>
      <c r="AG231" s="2405"/>
      <c r="AH231" s="2405"/>
      <c r="AI231" s="2405"/>
      <c r="AJ231" s="2405"/>
      <c r="AK231" s="2405"/>
      <c r="BA231" s="58"/>
      <c r="BB231" s="384"/>
      <c r="BG231" s="387"/>
      <c r="BQ231" s="61"/>
    </row>
    <row r="232" spans="1:69" ht="13.1">
      <c r="D232" s="57" t="s">
        <v>90</v>
      </c>
      <c r="E232" s="57"/>
      <c r="F232" s="57"/>
      <c r="G232" s="57"/>
      <c r="H232" s="57"/>
      <c r="I232" s="57"/>
      <c r="J232" s="57"/>
      <c r="K232" s="7"/>
      <c r="M232" s="2250" t="s">
        <v>2545</v>
      </c>
      <c r="N232" s="2295"/>
      <c r="O232" s="2295"/>
      <c r="P232" s="2295"/>
      <c r="Q232" s="2295"/>
      <c r="R232" s="2295"/>
      <c r="S232" s="2295"/>
      <c r="T232" s="2295"/>
      <c r="U232" s="2295"/>
      <c r="V232" s="2295"/>
      <c r="W232" s="2295"/>
      <c r="X232" s="2295"/>
      <c r="Y232" s="2295"/>
      <c r="Z232" s="2295"/>
      <c r="AA232" s="2295"/>
      <c r="AB232" s="2295"/>
      <c r="AC232" s="2295"/>
      <c r="AD232" s="2295"/>
      <c r="AE232" s="2295"/>
      <c r="AZ232" s="7"/>
      <c r="BA232" s="58"/>
      <c r="BB232" s="334" t="s">
        <v>571</v>
      </c>
      <c r="BG232" s="389">
        <f>IF(AND(AND($M$248="nonprofit",$M$256="nonprofit",$M$264="for profit")),2,0)</f>
        <v>0</v>
      </c>
      <c r="BQ232" s="61"/>
    </row>
    <row r="233" spans="1:69" ht="13.1">
      <c r="D233" s="57" t="s">
        <v>615</v>
      </c>
      <c r="E233" s="57"/>
      <c r="M233" s="2250" t="s">
        <v>2546</v>
      </c>
      <c r="N233" s="2295"/>
      <c r="O233" s="2295"/>
      <c r="P233" s="2295"/>
      <c r="Q233" s="2295"/>
      <c r="R233" s="2295"/>
      <c r="S233" s="2295"/>
      <c r="T233" s="2295"/>
      <c r="V233" s="59" t="s">
        <v>91</v>
      </c>
      <c r="W233" s="2047" t="s">
        <v>2547</v>
      </c>
      <c r="X233" s="1992"/>
      <c r="Y233" s="57" t="s">
        <v>618</v>
      </c>
      <c r="AC233" s="2295">
        <v>92780</v>
      </c>
      <c r="AD233" s="2295"/>
      <c r="AE233" s="2295"/>
      <c r="BB233" s="334" t="s">
        <v>571</v>
      </c>
      <c r="BG233" s="389">
        <f>IF(AND(AND($M$248="nonprofit",$M$256="for profit",$M$264="nonprofit")),2,0)</f>
        <v>0</v>
      </c>
    </row>
    <row r="234" spans="1:69" ht="13.1">
      <c r="D234" s="60" t="s">
        <v>92</v>
      </c>
      <c r="E234" s="7"/>
      <c r="F234" s="7"/>
      <c r="G234" s="7"/>
      <c r="H234" s="7"/>
      <c r="I234" s="7"/>
      <c r="J234" s="7"/>
      <c r="K234" s="29"/>
      <c r="M234" s="2250" t="s">
        <v>2548</v>
      </c>
      <c r="N234" s="2295"/>
      <c r="O234" s="2295"/>
      <c r="P234" s="2295"/>
      <c r="Q234" s="2295"/>
      <c r="R234" s="2295"/>
      <c r="S234" s="2295"/>
      <c r="T234" s="2295"/>
      <c r="U234" s="2295"/>
      <c r="V234" s="2295"/>
      <c r="W234" s="2295"/>
      <c r="X234" s="2295"/>
      <c r="Y234" s="2295"/>
      <c r="Z234" s="2295"/>
      <c r="AA234" s="2295"/>
      <c r="AB234" s="2295"/>
      <c r="AC234" s="2295"/>
      <c r="AD234" s="2295"/>
      <c r="AE234" s="229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
      <c r="D235" s="60" t="s">
        <v>93</v>
      </c>
      <c r="E235" s="7"/>
      <c r="F235" s="7"/>
      <c r="M235" s="2262" t="s">
        <v>2549</v>
      </c>
      <c r="N235" s="2034"/>
      <c r="O235" s="2034"/>
      <c r="P235" s="2034"/>
      <c r="Q235" s="2034"/>
      <c r="R235" s="2034"/>
      <c r="S235" s="7" t="s">
        <v>212</v>
      </c>
      <c r="T235" s="7"/>
      <c r="U235" s="1992">
        <v>719</v>
      </c>
      <c r="V235" s="1992"/>
      <c r="W235" s="1992"/>
      <c r="X235" s="7" t="s">
        <v>94</v>
      </c>
      <c r="Z235" s="2262" t="s">
        <v>2550</v>
      </c>
      <c r="AA235" s="2034"/>
      <c r="AB235" s="2034"/>
      <c r="AC235" s="2034"/>
      <c r="AD235" s="2034"/>
      <c r="AE235" s="2034"/>
      <c r="BB235" s="385"/>
      <c r="BG235" s="386"/>
    </row>
    <row r="236" spans="1:69" ht="12.6">
      <c r="D236" s="60" t="s">
        <v>95</v>
      </c>
      <c r="E236" s="7"/>
      <c r="F236" s="7"/>
      <c r="M236" s="2306" t="s">
        <v>2551</v>
      </c>
      <c r="N236" s="2306"/>
      <c r="O236" s="2306"/>
      <c r="P236" s="2306"/>
      <c r="Q236" s="2306"/>
      <c r="R236" s="2306"/>
      <c r="S236" s="2306"/>
      <c r="T236" s="2306"/>
      <c r="U236" s="2306"/>
      <c r="V236" s="2306"/>
      <c r="W236" s="2306"/>
      <c r="X236" s="2306"/>
      <c r="Y236" s="2306"/>
      <c r="Z236" s="2306"/>
      <c r="AA236" s="2306"/>
      <c r="AB236" s="2306"/>
      <c r="AC236" s="2306"/>
      <c r="AD236" s="2306"/>
      <c r="AE236" s="230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
      <c r="A237" s="50" t="s">
        <v>621</v>
      </c>
      <c r="C237" s="37" t="s">
        <v>558</v>
      </c>
      <c r="M237" s="1993" t="s">
        <v>395</v>
      </c>
      <c r="N237" s="1993"/>
      <c r="O237" s="1993"/>
      <c r="P237" s="1993"/>
      <c r="Q237" s="1993"/>
      <c r="R237" s="1993"/>
      <c r="S237" s="1993"/>
      <c r="T237" s="1993"/>
      <c r="U237" s="387" t="s">
        <v>975</v>
      </c>
      <c r="V237" s="325"/>
      <c r="W237" s="325"/>
      <c r="X237" s="325"/>
      <c r="Y237" s="325"/>
      <c r="Z237" s="325"/>
      <c r="AA237" s="2389" t="s">
        <v>626</v>
      </c>
      <c r="AB237" s="2390"/>
      <c r="AC237" s="2390"/>
      <c r="AD237" s="2390"/>
      <c r="AE237" s="2390"/>
      <c r="AF237" s="2390"/>
      <c r="AG237" s="2390"/>
      <c r="AH237" s="2390"/>
      <c r="AI237" s="2390"/>
      <c r="AJ237" s="2390"/>
      <c r="AK237" s="239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6">
      <c r="D238" s="12" t="s">
        <v>564</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6">
      <c r="D239" s="60"/>
      <c r="K239" s="3"/>
      <c r="BB239" s="383" t="s">
        <v>942</v>
      </c>
      <c r="BG239" s="389">
        <f>IF(AND(AND($M$248="for profit",$M$256="for profit",$M$264="(select one)")),3,0)</f>
        <v>0</v>
      </c>
    </row>
    <row r="240" spans="1:69" ht="13.1">
      <c r="A240" s="50" t="s">
        <v>624</v>
      </c>
      <c r="C240" s="50" t="s">
        <v>1379</v>
      </c>
      <c r="D240" s="60"/>
      <c r="K240" s="3"/>
      <c r="L240" s="14"/>
      <c r="M240" s="14"/>
      <c r="N240" s="14"/>
      <c r="BB240" s="383" t="s">
        <v>942</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
      <c r="A242" s="29"/>
      <c r="B242" s="7"/>
      <c r="C242" s="136" t="s">
        <v>506</v>
      </c>
      <c r="D242" s="57" t="s">
        <v>565</v>
      </c>
      <c r="E242" s="57"/>
      <c r="F242" s="57"/>
      <c r="G242" s="57"/>
      <c r="H242" s="57"/>
      <c r="I242" s="57"/>
      <c r="J242" s="57"/>
      <c r="K242" s="57"/>
      <c r="L242" s="7"/>
      <c r="M242" s="2387" t="s">
        <v>2543</v>
      </c>
      <c r="N242" s="2388"/>
      <c r="O242" s="2388"/>
      <c r="P242" s="2388"/>
      <c r="Q242" s="2388"/>
      <c r="R242" s="2388"/>
      <c r="S242" s="2388"/>
      <c r="T242" s="2388"/>
      <c r="U242" s="2388"/>
      <c r="V242" s="2388"/>
      <c r="W242" s="2388"/>
      <c r="X242" s="2388"/>
      <c r="Y242" s="2388"/>
      <c r="Z242" s="2388"/>
      <c r="AA242" s="2388"/>
      <c r="AB242" s="2388"/>
      <c r="AC242" s="2388"/>
      <c r="AD242" s="2388"/>
      <c r="AE242" s="2388"/>
      <c r="AF242" s="2388" t="s">
        <v>2544</v>
      </c>
      <c r="AG242" s="2388"/>
      <c r="AH242" s="2388"/>
      <c r="AI242" s="2388"/>
      <c r="AJ242" s="2388"/>
      <c r="AK242" s="2388"/>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250" t="s">
        <v>2545</v>
      </c>
      <c r="N243" s="2295"/>
      <c r="O243" s="2295"/>
      <c r="P243" s="2295"/>
      <c r="Q243" s="2295"/>
      <c r="R243" s="2295"/>
      <c r="S243" s="2295"/>
      <c r="T243" s="2295"/>
      <c r="U243" s="2295"/>
      <c r="V243" s="2295"/>
      <c r="W243" s="2295"/>
      <c r="X243" s="2295"/>
      <c r="Y243" s="2295"/>
      <c r="Z243" s="2295"/>
      <c r="AA243" s="2295"/>
      <c r="AB243" s="2295"/>
      <c r="AC243" s="2295"/>
      <c r="AD243" s="2295"/>
      <c r="AE243" s="2295"/>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615</v>
      </c>
      <c r="E244" s="57"/>
      <c r="M244" s="2250" t="s">
        <v>2546</v>
      </c>
      <c r="N244" s="2295"/>
      <c r="O244" s="2295"/>
      <c r="P244" s="2295"/>
      <c r="Q244" s="2295"/>
      <c r="R244" s="2295"/>
      <c r="S244" s="2295"/>
      <c r="T244" s="2295"/>
      <c r="V244" s="59" t="s">
        <v>91</v>
      </c>
      <c r="W244" s="2047" t="s">
        <v>2547</v>
      </c>
      <c r="X244" s="1992"/>
      <c r="Y244" s="57" t="s">
        <v>618</v>
      </c>
      <c r="AC244" s="2295">
        <v>92780</v>
      </c>
      <c r="AD244" s="2295"/>
      <c r="AE244" s="2295"/>
      <c r="AF244" s="58" t="s">
        <v>1376</v>
      </c>
      <c r="AG244" s="717"/>
      <c r="AH244" s="717"/>
      <c r="AI244" s="717"/>
      <c r="AJ244" s="717"/>
      <c r="AK244" s="717"/>
      <c r="BB244" s="12" t="s">
        <v>316</v>
      </c>
      <c r="BG244" s="12">
        <v>1</v>
      </c>
      <c r="BH244" s="12" t="s">
        <v>567</v>
      </c>
      <c r="BM244" s="25"/>
      <c r="BN244" s="3"/>
      <c r="BO244" s="3"/>
    </row>
    <row r="245" spans="1:72" ht="12.6">
      <c r="A245" s="29"/>
      <c r="B245" s="7"/>
      <c r="C245" s="7"/>
      <c r="D245" s="60" t="s">
        <v>92</v>
      </c>
      <c r="E245" s="7"/>
      <c r="F245" s="7"/>
      <c r="G245" s="7"/>
      <c r="H245" s="7"/>
      <c r="I245" s="7"/>
      <c r="J245" s="7"/>
      <c r="K245" s="7"/>
      <c r="L245" s="29"/>
      <c r="M245" s="2250" t="s">
        <v>2548</v>
      </c>
      <c r="N245" s="2295"/>
      <c r="O245" s="2295"/>
      <c r="P245" s="2295"/>
      <c r="Q245" s="2295"/>
      <c r="R245" s="2295"/>
      <c r="S245" s="2295"/>
      <c r="T245" s="2295"/>
      <c r="U245" s="2295"/>
      <c r="V245" s="2295"/>
      <c r="W245" s="2295"/>
      <c r="X245" s="2295"/>
      <c r="Y245" s="2295"/>
      <c r="Z245" s="2295"/>
      <c r="AA245" s="2295"/>
      <c r="AB245" s="2295"/>
      <c r="AC245" s="2295"/>
      <c r="AD245" s="2295"/>
      <c r="AE245" s="2295"/>
      <c r="AH245" s="2398">
        <v>3.3999999999999998E-3</v>
      </c>
      <c r="AI245" s="2398"/>
      <c r="AJ245" s="2398"/>
      <c r="AK245" s="239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6">
      <c r="A246" s="29"/>
      <c r="B246" s="7"/>
      <c r="C246" s="7"/>
      <c r="D246" s="60" t="s">
        <v>93</v>
      </c>
      <c r="E246" s="7"/>
      <c r="F246" s="7"/>
      <c r="M246" s="2262" t="s">
        <v>2549</v>
      </c>
      <c r="N246" s="2034"/>
      <c r="O246" s="2034"/>
      <c r="P246" s="2034"/>
      <c r="Q246" s="2034"/>
      <c r="R246" s="2034"/>
      <c r="S246" s="7" t="s">
        <v>212</v>
      </c>
      <c r="T246" s="7"/>
      <c r="U246" s="1992">
        <v>719</v>
      </c>
      <c r="V246" s="1992"/>
      <c r="W246" s="1992"/>
      <c r="X246" s="7" t="s">
        <v>94</v>
      </c>
      <c r="Z246" s="2262" t="s">
        <v>2550</v>
      </c>
      <c r="AA246" s="2034"/>
      <c r="AB246" s="2034"/>
      <c r="AC246" s="2034"/>
      <c r="AD246" s="2034"/>
      <c r="AE246" s="2034"/>
      <c r="BB246" s="7" t="s">
        <v>178</v>
      </c>
      <c r="BG246" s="12">
        <v>3</v>
      </c>
      <c r="BH246" s="12" t="s">
        <v>569</v>
      </c>
      <c r="BN246" s="390"/>
      <c r="BO246" s="39"/>
    </row>
    <row r="247" spans="1:72" ht="12.6">
      <c r="A247" s="29"/>
      <c r="B247" s="7"/>
      <c r="C247" s="7"/>
      <c r="D247" s="60" t="s">
        <v>95</v>
      </c>
      <c r="E247" s="7"/>
      <c r="F247" s="7"/>
      <c r="M247" s="2306" t="s">
        <v>2551</v>
      </c>
      <c r="N247" s="2306"/>
      <c r="O247" s="2306"/>
      <c r="P247" s="2306"/>
      <c r="Q247" s="2306"/>
      <c r="R247" s="2306"/>
      <c r="S247" s="2306"/>
      <c r="T247" s="2306"/>
      <c r="U247" s="2306"/>
      <c r="V247" s="2306"/>
      <c r="W247" s="2306"/>
      <c r="X247" s="2306"/>
      <c r="Y247" s="2306"/>
      <c r="Z247" s="2306"/>
      <c r="AA247" s="2306"/>
      <c r="AB247" s="2306"/>
      <c r="AC247" s="2306"/>
      <c r="AD247" s="2306"/>
      <c r="AE247" s="230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568</v>
      </c>
      <c r="E248" s="7"/>
      <c r="F248" s="7"/>
      <c r="G248" s="7"/>
      <c r="H248" s="7"/>
      <c r="I248" s="7"/>
      <c r="J248" s="7"/>
      <c r="K248" s="7"/>
      <c r="L248" s="7"/>
      <c r="M248" s="1993" t="s">
        <v>567</v>
      </c>
      <c r="N248" s="1993"/>
      <c r="O248" s="1993"/>
      <c r="P248" s="1993"/>
      <c r="Q248" s="1993"/>
      <c r="R248" s="1993"/>
      <c r="S248" s="1993"/>
      <c r="T248" s="1993"/>
      <c r="U248" s="387" t="s">
        <v>975</v>
      </c>
      <c r="V248" s="325"/>
      <c r="W248" s="325"/>
      <c r="X248" s="325"/>
      <c r="Y248" s="325"/>
      <c r="Z248" s="325"/>
      <c r="AA248" s="2389" t="s">
        <v>626</v>
      </c>
      <c r="AB248" s="2390"/>
      <c r="AC248" s="2390"/>
      <c r="AD248" s="2390"/>
      <c r="AE248" s="2390"/>
      <c r="AF248" s="2390"/>
      <c r="AG248" s="2390"/>
      <c r="AH248" s="2390"/>
      <c r="AI248" s="2390"/>
      <c r="AJ248" s="2390"/>
      <c r="AK248" s="2390"/>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1034</v>
      </c>
      <c r="E250" s="57"/>
      <c r="F250" s="57"/>
      <c r="G250" s="57"/>
      <c r="H250" s="57"/>
      <c r="I250" s="57"/>
      <c r="J250" s="57"/>
      <c r="K250" s="57"/>
      <c r="L250" s="7"/>
      <c r="M250" s="2387" t="s">
        <v>2552</v>
      </c>
      <c r="N250" s="2388"/>
      <c r="O250" s="2388"/>
      <c r="P250" s="2388"/>
      <c r="Q250" s="2388"/>
      <c r="R250" s="2388"/>
      <c r="S250" s="2388"/>
      <c r="T250" s="2388"/>
      <c r="U250" s="2388"/>
      <c r="V250" s="2388"/>
      <c r="W250" s="2388"/>
      <c r="X250" s="2388"/>
      <c r="Y250" s="2388"/>
      <c r="Z250" s="2388"/>
      <c r="AA250" s="2388"/>
      <c r="AB250" s="2388"/>
      <c r="AC250" s="2388"/>
      <c r="AD250" s="2388"/>
      <c r="AE250" s="2388"/>
      <c r="AF250" s="2388" t="s">
        <v>2553</v>
      </c>
      <c r="AG250" s="2388"/>
      <c r="AH250" s="2388"/>
      <c r="AI250" s="2388"/>
      <c r="AJ250" s="2388"/>
      <c r="AK250" s="2388"/>
      <c r="BN250" s="61"/>
    </row>
    <row r="251" spans="1:72" ht="12.6">
      <c r="A251" s="29"/>
      <c r="B251" s="7"/>
      <c r="C251" s="7"/>
      <c r="D251" s="57" t="s">
        <v>90</v>
      </c>
      <c r="E251" s="57"/>
      <c r="F251" s="57"/>
      <c r="G251" s="57"/>
      <c r="H251" s="57"/>
      <c r="I251" s="57"/>
      <c r="J251" s="57"/>
      <c r="K251" s="57"/>
      <c r="L251" s="7"/>
      <c r="M251" s="2250" t="s">
        <v>2536</v>
      </c>
      <c r="N251" s="2295"/>
      <c r="O251" s="2295"/>
      <c r="P251" s="2295"/>
      <c r="Q251" s="2295"/>
      <c r="R251" s="2295"/>
      <c r="S251" s="2295"/>
      <c r="T251" s="2295"/>
      <c r="U251" s="2295"/>
      <c r="V251" s="2295"/>
      <c r="W251" s="2295"/>
      <c r="X251" s="2295"/>
      <c r="Y251" s="2295"/>
      <c r="Z251" s="2295"/>
      <c r="AA251" s="2295"/>
      <c r="AB251" s="2295"/>
      <c r="AC251" s="2295"/>
      <c r="AD251" s="2295"/>
      <c r="AE251" s="2295"/>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615</v>
      </c>
      <c r="E252" s="57"/>
      <c r="M252" s="2250" t="s">
        <v>2537</v>
      </c>
      <c r="N252" s="2295"/>
      <c r="O252" s="2295"/>
      <c r="P252" s="2295"/>
      <c r="Q252" s="2295"/>
      <c r="R252" s="2295"/>
      <c r="S252" s="2295"/>
      <c r="T252" s="2295"/>
      <c r="V252" s="59" t="s">
        <v>91</v>
      </c>
      <c r="W252" s="2047" t="s">
        <v>2538</v>
      </c>
      <c r="X252" s="1992"/>
      <c r="Y252" s="57" t="s">
        <v>618</v>
      </c>
      <c r="AC252" s="2295">
        <v>83616</v>
      </c>
      <c r="AD252" s="2295"/>
      <c r="AE252" s="2295"/>
      <c r="AF252" s="58" t="s">
        <v>1376</v>
      </c>
      <c r="AG252" s="717"/>
      <c r="AH252" s="717"/>
      <c r="AI252" s="717"/>
      <c r="AJ252" s="717"/>
      <c r="AK252" s="717"/>
      <c r="BN252" s="61"/>
    </row>
    <row r="253" spans="1:72" ht="12.6">
      <c r="A253" s="29"/>
      <c r="B253" s="7"/>
      <c r="C253" s="7"/>
      <c r="D253" s="60" t="s">
        <v>92</v>
      </c>
      <c r="E253" s="7"/>
      <c r="F253" s="7"/>
      <c r="G253" s="7"/>
      <c r="H253" s="7"/>
      <c r="I253" s="7"/>
      <c r="J253" s="7"/>
      <c r="K253" s="7"/>
      <c r="L253" s="29"/>
      <c r="M253" s="2250" t="s">
        <v>2539</v>
      </c>
      <c r="N253" s="2295"/>
      <c r="O253" s="2295"/>
      <c r="P253" s="2295"/>
      <c r="Q253" s="2295"/>
      <c r="R253" s="2295"/>
      <c r="S253" s="2295"/>
      <c r="T253" s="2295"/>
      <c r="U253" s="2295"/>
      <c r="V253" s="2295"/>
      <c r="W253" s="2295"/>
      <c r="X253" s="2295"/>
      <c r="Y253" s="2295"/>
      <c r="Z253" s="2295"/>
      <c r="AA253" s="2295"/>
      <c r="AB253" s="2295"/>
      <c r="AC253" s="2295"/>
      <c r="AD253" s="2295"/>
      <c r="AE253" s="2295"/>
      <c r="AF253" s="717"/>
      <c r="AG253" s="717"/>
      <c r="AH253" s="2398">
        <v>3.3E-3</v>
      </c>
      <c r="AI253" s="2398"/>
      <c r="AJ253" s="2398"/>
      <c r="AK253" s="2398"/>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262" t="s">
        <v>2540</v>
      </c>
      <c r="N254" s="2034"/>
      <c r="O254" s="2034"/>
      <c r="P254" s="2034"/>
      <c r="Q254" s="2034"/>
      <c r="R254" s="2034"/>
      <c r="S254" s="7" t="s">
        <v>212</v>
      </c>
      <c r="T254" s="7"/>
      <c r="U254" s="1992">
        <v>3015</v>
      </c>
      <c r="V254" s="1992"/>
      <c r="W254" s="1992"/>
      <c r="X254" s="7" t="s">
        <v>94</v>
      </c>
      <c r="Z254" s="2262" t="s">
        <v>2541</v>
      </c>
      <c r="AA254" s="2034"/>
      <c r="AB254" s="2034"/>
      <c r="AC254" s="2034"/>
      <c r="AD254" s="2034"/>
      <c r="AE254" s="2034"/>
    </row>
    <row r="255" spans="1:72" ht="12.6">
      <c r="A255" s="29"/>
      <c r="B255" s="7"/>
      <c r="C255" s="7"/>
      <c r="D255" s="60" t="s">
        <v>95</v>
      </c>
      <c r="E255" s="7"/>
      <c r="F255" s="7"/>
      <c r="M255" s="2306" t="s">
        <v>2542</v>
      </c>
      <c r="N255" s="2306"/>
      <c r="O255" s="2306"/>
      <c r="P255" s="2306"/>
      <c r="Q255" s="2306"/>
      <c r="R255" s="2306"/>
      <c r="S255" s="2306"/>
      <c r="T255" s="2306"/>
      <c r="U255" s="2306"/>
      <c r="V255" s="2306"/>
      <c r="W255" s="2306"/>
      <c r="X255" s="2306"/>
      <c r="Y255" s="2306"/>
      <c r="Z255" s="2306"/>
      <c r="AA255" s="2306"/>
      <c r="AB255" s="2306"/>
      <c r="AC255" s="2306"/>
      <c r="AD255" s="2306"/>
      <c r="AE255" s="230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568</v>
      </c>
      <c r="E256" s="7"/>
      <c r="F256" s="7"/>
      <c r="G256" s="7"/>
      <c r="H256" s="7"/>
      <c r="I256" s="7"/>
      <c r="J256" s="7"/>
      <c r="K256" s="7"/>
      <c r="L256" s="7"/>
      <c r="M256" s="1993" t="s">
        <v>569</v>
      </c>
      <c r="N256" s="1993"/>
      <c r="O256" s="1993"/>
      <c r="P256" s="1993"/>
      <c r="Q256" s="1993"/>
      <c r="R256" s="1993"/>
      <c r="S256" s="1993"/>
      <c r="T256" s="1993"/>
      <c r="U256" s="387" t="s">
        <v>975</v>
      </c>
      <c r="V256" s="325"/>
      <c r="W256" s="325"/>
      <c r="X256" s="325"/>
      <c r="Y256" s="325"/>
      <c r="Z256" s="325"/>
      <c r="AA256" s="2389" t="s">
        <v>2554</v>
      </c>
      <c r="AB256" s="2390"/>
      <c r="AC256" s="2390"/>
      <c r="AD256" s="2390"/>
      <c r="AE256" s="2390"/>
      <c r="AF256" s="2390"/>
      <c r="AG256" s="2390"/>
      <c r="AH256" s="2390"/>
      <c r="AI256" s="2390"/>
      <c r="AJ256" s="2390"/>
      <c r="AK256" s="239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7" t="s">
        <v>2555</v>
      </c>
      <c r="N258" s="2388"/>
      <c r="O258" s="2388"/>
      <c r="P258" s="2388"/>
      <c r="Q258" s="2388"/>
      <c r="R258" s="2388"/>
      <c r="S258" s="2388"/>
      <c r="T258" s="2388"/>
      <c r="U258" s="2388"/>
      <c r="V258" s="2388"/>
      <c r="W258" s="2388"/>
      <c r="X258" s="2388"/>
      <c r="Y258" s="2388"/>
      <c r="Z258" s="2388"/>
      <c r="AA258" s="2388"/>
      <c r="AB258" s="2388"/>
      <c r="AC258" s="2388"/>
      <c r="AD258" s="2388"/>
      <c r="AE258" s="2388"/>
      <c r="AF258" s="2388" t="s">
        <v>2553</v>
      </c>
      <c r="AG258" s="2388"/>
      <c r="AH258" s="2388"/>
      <c r="AI258" s="2388"/>
      <c r="AJ258" s="2388"/>
      <c r="AK258" s="23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50" t="s">
        <v>2556</v>
      </c>
      <c r="N259" s="2295"/>
      <c r="O259" s="2295"/>
      <c r="P259" s="2295"/>
      <c r="Q259" s="2295"/>
      <c r="R259" s="2295"/>
      <c r="S259" s="2295"/>
      <c r="T259" s="2295"/>
      <c r="U259" s="2295"/>
      <c r="V259" s="2295"/>
      <c r="W259" s="2295"/>
      <c r="X259" s="2295"/>
      <c r="Y259" s="2295"/>
      <c r="Z259" s="2295"/>
      <c r="AA259" s="2295"/>
      <c r="AB259" s="2295"/>
      <c r="AC259" s="2295"/>
      <c r="AD259" s="2295"/>
      <c r="AE259" s="2295"/>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50" t="s">
        <v>71</v>
      </c>
      <c r="N260" s="2295"/>
      <c r="O260" s="2295"/>
      <c r="P260" s="2295"/>
      <c r="Q260" s="2295"/>
      <c r="R260" s="2295"/>
      <c r="S260" s="2295"/>
      <c r="T260" s="2295"/>
      <c r="V260" s="59" t="s">
        <v>91</v>
      </c>
      <c r="W260" s="2047" t="s">
        <v>2547</v>
      </c>
      <c r="X260" s="1992"/>
      <c r="Y260" s="57" t="s">
        <v>618</v>
      </c>
      <c r="AC260" s="2295">
        <v>95814</v>
      </c>
      <c r="AD260" s="2295"/>
      <c r="AE260" s="2295"/>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250" t="s">
        <v>2557</v>
      </c>
      <c r="N261" s="2295"/>
      <c r="O261" s="2295"/>
      <c r="P261" s="2295"/>
      <c r="Q261" s="2295"/>
      <c r="R261" s="2295"/>
      <c r="S261" s="2295"/>
      <c r="T261" s="2295"/>
      <c r="U261" s="2295"/>
      <c r="V261" s="2295"/>
      <c r="W261" s="2295"/>
      <c r="X261" s="2295"/>
      <c r="Y261" s="2295"/>
      <c r="Z261" s="2295"/>
      <c r="AA261" s="2295"/>
      <c r="AB261" s="2295"/>
      <c r="AC261" s="2295"/>
      <c r="AD261" s="2295"/>
      <c r="AE261" s="2295"/>
      <c r="AF261" s="717"/>
      <c r="AG261" s="717"/>
      <c r="AH261" s="2398">
        <v>3.3E-3</v>
      </c>
      <c r="AI261" s="2398"/>
      <c r="AJ261" s="2398"/>
      <c r="AK261" s="2398"/>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262" t="s">
        <v>2558</v>
      </c>
      <c r="N262" s="2034"/>
      <c r="O262" s="2034"/>
      <c r="P262" s="2034"/>
      <c r="Q262" s="2034"/>
      <c r="R262" s="2034"/>
      <c r="S262" s="7" t="s">
        <v>212</v>
      </c>
      <c r="T262" s="7"/>
      <c r="U262" s="1992"/>
      <c r="V262" s="1992"/>
      <c r="W262" s="1992"/>
      <c r="X262" s="7" t="s">
        <v>94</v>
      </c>
      <c r="Z262" s="2262" t="s">
        <v>2559</v>
      </c>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306" t="s">
        <v>2560</v>
      </c>
      <c r="N263" s="2306"/>
      <c r="O263" s="2306"/>
      <c r="P263" s="2306"/>
      <c r="Q263" s="2306"/>
      <c r="R263" s="2306"/>
      <c r="S263" s="2306"/>
      <c r="T263" s="2306"/>
      <c r="U263" s="2306"/>
      <c r="V263" s="2306"/>
      <c r="W263" s="2306"/>
      <c r="X263" s="2306"/>
      <c r="Y263" s="2306"/>
      <c r="Z263" s="2306"/>
      <c r="AA263" s="2419"/>
      <c r="AB263" s="2419"/>
      <c r="AC263" s="2419"/>
      <c r="AD263" s="2419"/>
      <c r="AE263" s="24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568</v>
      </c>
      <c r="E264" s="7"/>
      <c r="F264" s="7"/>
      <c r="G264" s="7"/>
      <c r="H264" s="7"/>
      <c r="I264" s="7"/>
      <c r="J264" s="7"/>
      <c r="K264" s="7"/>
      <c r="L264" s="7"/>
      <c r="M264" s="1993" t="s">
        <v>569</v>
      </c>
      <c r="N264" s="1993"/>
      <c r="O264" s="1993"/>
      <c r="P264" s="1993"/>
      <c r="Q264" s="1993"/>
      <c r="R264" s="1993"/>
      <c r="S264" s="1993"/>
      <c r="T264" s="1993"/>
      <c r="U264" s="387" t="s">
        <v>975</v>
      </c>
      <c r="V264" s="325"/>
      <c r="W264" s="325"/>
      <c r="X264" s="325"/>
      <c r="Y264" s="325"/>
      <c r="Z264" s="325"/>
      <c r="AA264" s="2402" t="s">
        <v>626</v>
      </c>
      <c r="AB264" s="2403"/>
      <c r="AC264" s="2403"/>
      <c r="AD264" s="2403"/>
      <c r="AE264" s="2403"/>
      <c r="AF264" s="2403"/>
      <c r="AG264" s="2403"/>
      <c r="AH264" s="2403"/>
      <c r="AI264" s="2403"/>
      <c r="AJ264" s="2403"/>
      <c r="AK264" s="2403"/>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625</v>
      </c>
      <c r="B266" s="7"/>
      <c r="C266" s="50" t="s">
        <v>303</v>
      </c>
      <c r="D266" s="7"/>
      <c r="E266" s="7"/>
      <c r="F266" s="7"/>
      <c r="G266" s="7"/>
      <c r="H266" s="7"/>
      <c r="I266" s="7"/>
      <c r="J266" s="7"/>
      <c r="K266" s="7"/>
      <c r="L266" s="7"/>
      <c r="M266" s="147"/>
      <c r="N266" s="147"/>
      <c r="O266" s="147"/>
      <c r="P266" s="147"/>
      <c r="Q266" s="147"/>
      <c r="T266" s="2391" t="str">
        <f>BO245</f>
        <v>Joint Venture</v>
      </c>
      <c r="U266" s="2391"/>
      <c r="V266" s="2391"/>
      <c r="W266" s="2391"/>
      <c r="X266" s="2391"/>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295" t="s">
        <v>286</v>
      </c>
      <c r="E269" s="2295"/>
      <c r="F269" s="2295"/>
      <c r="G269" s="2295"/>
      <c r="H269" s="2295"/>
      <c r="J269" s="12" t="s">
        <v>285</v>
      </c>
      <c r="X269" s="2275"/>
      <c r="Y269" s="2275"/>
      <c r="Z269" s="2275"/>
      <c r="AA269" s="2275"/>
      <c r="AB269" s="2275"/>
      <c r="AC269" s="2275"/>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387" t="s">
        <v>2561</v>
      </c>
      <c r="M273" s="2388"/>
      <c r="N273" s="2388"/>
      <c r="O273" s="2388"/>
      <c r="P273" s="2388"/>
      <c r="Q273" s="2388"/>
      <c r="R273" s="2388"/>
      <c r="S273" s="2388"/>
      <c r="T273" s="2388"/>
      <c r="U273" s="2388"/>
      <c r="V273" s="2388"/>
      <c r="W273" s="2388"/>
      <c r="X273" s="2388"/>
      <c r="Y273" s="2388"/>
      <c r="Z273" s="2388"/>
      <c r="AA273" s="2388"/>
      <c r="AB273" s="2388"/>
      <c r="AC273" s="2388"/>
      <c r="AD273" s="2388"/>
      <c r="AE273" s="2388"/>
      <c r="AF273" s="2388"/>
      <c r="AG273" s="2388"/>
      <c r="AH273" s="2388"/>
      <c r="AI273" s="2388"/>
      <c r="AJ273" s="2388"/>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250" t="s">
        <v>2536</v>
      </c>
      <c r="M274" s="2295"/>
      <c r="N274" s="2295"/>
      <c r="O274" s="2295"/>
      <c r="P274" s="2295"/>
      <c r="Q274" s="2295"/>
      <c r="R274" s="2295"/>
      <c r="S274" s="2295"/>
      <c r="T274" s="2295"/>
      <c r="U274" s="2295"/>
      <c r="V274" s="2295"/>
      <c r="W274" s="2295"/>
      <c r="X274" s="2295"/>
      <c r="Y274" s="2295"/>
      <c r="Z274" s="2295"/>
      <c r="AA274" s="2295"/>
      <c r="AB274" s="2295"/>
      <c r="AC274" s="2295"/>
      <c r="AD274" s="2295"/>
      <c r="AK274" s="58"/>
      <c r="AL274" s="58"/>
      <c r="AM274" s="239"/>
      <c r="AN274" s="239"/>
      <c r="AO274" s="239"/>
      <c r="AP274" s="239"/>
      <c r="AQ274" s="239"/>
      <c r="AR274" s="239"/>
      <c r="AS274" s="239"/>
      <c r="AT274" s="239"/>
      <c r="AU274" s="239"/>
      <c r="AV274" s="239"/>
      <c r="AW274" s="239"/>
      <c r="AX274" s="239"/>
      <c r="AY274" s="239"/>
      <c r="BN274" s="61"/>
    </row>
    <row r="275" spans="1:66" ht="12.6">
      <c r="D275" s="57" t="s">
        <v>615</v>
      </c>
      <c r="E275" s="57"/>
      <c r="L275" s="2250" t="s">
        <v>2537</v>
      </c>
      <c r="M275" s="2295"/>
      <c r="N275" s="2295"/>
      <c r="O275" s="2295"/>
      <c r="P275" s="2295"/>
      <c r="Q275" s="2295"/>
      <c r="R275" s="2295"/>
      <c r="S275" s="2295"/>
      <c r="U275" s="59" t="s">
        <v>91</v>
      </c>
      <c r="V275" s="2047" t="s">
        <v>2538</v>
      </c>
      <c r="W275" s="1992"/>
      <c r="X275" s="57" t="s">
        <v>618</v>
      </c>
      <c r="AB275" s="2295">
        <v>83616</v>
      </c>
      <c r="AC275" s="2295"/>
      <c r="AD275" s="229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0" t="s">
        <v>2562</v>
      </c>
      <c r="M276" s="2295"/>
      <c r="N276" s="2295"/>
      <c r="O276" s="2295"/>
      <c r="P276" s="2295"/>
      <c r="Q276" s="2295"/>
      <c r="R276" s="2295"/>
      <c r="S276" s="2295"/>
      <c r="T276" s="2295"/>
      <c r="U276" s="2295"/>
      <c r="V276" s="2295"/>
      <c r="W276" s="2295"/>
      <c r="X276" s="2295"/>
      <c r="Y276" s="2295"/>
      <c r="Z276" s="2295"/>
      <c r="AA276" s="2295"/>
      <c r="AB276" s="2295"/>
      <c r="AC276" s="2295"/>
      <c r="AD276" s="2295"/>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262" t="s">
        <v>2563</v>
      </c>
      <c r="M277" s="2034"/>
      <c r="N277" s="2034"/>
      <c r="O277" s="2034"/>
      <c r="P277" s="2034"/>
      <c r="Q277" s="2034"/>
      <c r="R277" s="7" t="s">
        <v>212</v>
      </c>
      <c r="S277" s="7"/>
      <c r="T277" s="1992"/>
      <c r="U277" s="1992"/>
      <c r="V277" s="1992"/>
      <c r="W277" s="7" t="s">
        <v>94</v>
      </c>
      <c r="Y277" s="2262" t="s">
        <v>2541</v>
      </c>
      <c r="Z277" s="2034"/>
      <c r="AA277" s="2034"/>
      <c r="AB277" s="2034"/>
      <c r="AC277" s="2034"/>
      <c r="AD277" s="2034"/>
      <c r="BN277" s="61"/>
    </row>
    <row r="278" spans="1:66" ht="12.6">
      <c r="D278" s="60" t="s">
        <v>95</v>
      </c>
      <c r="E278" s="7"/>
      <c r="F278" s="7"/>
      <c r="L278" s="2306" t="s">
        <v>2564</v>
      </c>
      <c r="M278" s="2306"/>
      <c r="N278" s="2306"/>
      <c r="O278" s="2306"/>
      <c r="P278" s="2306"/>
      <c r="Q278" s="2306"/>
      <c r="R278" s="2306"/>
      <c r="S278" s="2306"/>
      <c r="T278" s="2306"/>
      <c r="U278" s="2306"/>
      <c r="V278" s="2306"/>
      <c r="W278" s="2306"/>
      <c r="X278" s="2306"/>
      <c r="Y278" s="2306"/>
      <c r="Z278" s="2306"/>
      <c r="AA278" s="2306"/>
      <c r="AB278" s="2306"/>
      <c r="AC278" s="2306"/>
      <c r="AD278" s="2306"/>
      <c r="AF278" s="7"/>
      <c r="AG278" s="7"/>
      <c r="AH278" s="7"/>
      <c r="AI278" s="7"/>
      <c r="AJ278" s="7"/>
      <c r="BN278" s="61"/>
    </row>
    <row r="279" spans="1:66" ht="12.6">
      <c r="D279" s="58" t="s">
        <v>658</v>
      </c>
      <c r="E279" s="58"/>
      <c r="F279" s="58"/>
      <c r="G279" s="58"/>
      <c r="H279" s="58"/>
      <c r="I279" s="58"/>
      <c r="L279" s="2047" t="s">
        <v>2565</v>
      </c>
      <c r="M279" s="2047"/>
      <c r="N279" s="2047"/>
      <c r="O279" s="2047"/>
      <c r="P279" s="2047"/>
      <c r="Q279" s="2047"/>
      <c r="R279" s="2047"/>
      <c r="S279" s="2047"/>
      <c r="T279" s="2047"/>
      <c r="U279" s="2047"/>
      <c r="V279" s="2047"/>
      <c r="W279" s="2047"/>
      <c r="X279" s="2047"/>
      <c r="Y279" s="2047"/>
      <c r="Z279" s="2047"/>
      <c r="AA279" s="2047"/>
      <c r="AB279" s="2047"/>
      <c r="AC279" s="2047"/>
      <c r="AD279" s="2047"/>
      <c r="AK279" s="58"/>
      <c r="AL279" s="58"/>
      <c r="AM279" s="239"/>
      <c r="AN279" s="239"/>
      <c r="AO279" s="239"/>
      <c r="AP279" s="239"/>
      <c r="AQ279" s="239"/>
      <c r="AR279" s="239"/>
      <c r="AS279" s="239"/>
      <c r="AT279" s="239"/>
      <c r="AU279" s="239"/>
      <c r="AV279" s="239"/>
      <c r="AW279" s="239"/>
      <c r="AX279" s="239"/>
      <c r="AY279" s="239"/>
      <c r="BN279" s="61"/>
    </row>
    <row r="280" spans="1:66" ht="12.6">
      <c r="L280" s="35" t="s">
        <v>659</v>
      </c>
      <c r="BN280" s="61"/>
    </row>
    <row r="281" spans="1:66" ht="13.1">
      <c r="A281" s="2337" t="s">
        <v>574</v>
      </c>
      <c r="B281" s="2337"/>
      <c r="C281" s="2337"/>
      <c r="D281" s="2337"/>
      <c r="E281" s="2337"/>
      <c r="F281" s="2337"/>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7"/>
      <c r="AE281" s="2337"/>
      <c r="AF281" s="2337"/>
      <c r="AG281" s="2337"/>
      <c r="AH281" s="2337"/>
      <c r="AI281" s="2337"/>
      <c r="AJ281" s="2337"/>
      <c r="AK281" s="2337"/>
      <c r="AL281" s="2337"/>
      <c r="AM281" s="144"/>
      <c r="AN281" s="144"/>
      <c r="AO281" s="144"/>
      <c r="AP281" s="144"/>
      <c r="AQ281" s="144"/>
      <c r="AR281" s="144"/>
      <c r="AS281" s="144"/>
      <c r="AT281" s="144"/>
      <c r="AU281" s="144"/>
      <c r="AV281" s="144"/>
      <c r="AW281" s="144"/>
      <c r="AX281" s="144"/>
      <c r="AY281" s="144"/>
      <c r="BN281" s="61"/>
    </row>
    <row r="282" spans="1:66" ht="13.6" thickBot="1">
      <c r="A282" s="2338"/>
      <c r="B282" s="2338"/>
      <c r="C282" s="2338"/>
      <c r="D282" s="2338"/>
      <c r="E282" s="2338"/>
      <c r="F282" s="2338"/>
      <c r="G282" s="2338"/>
      <c r="H282" s="2338"/>
      <c r="I282" s="2338"/>
      <c r="J282" s="2338"/>
      <c r="K282" s="2338"/>
      <c r="L282" s="2338"/>
      <c r="M282" s="2338"/>
      <c r="N282" s="2338"/>
      <c r="O282" s="2338"/>
      <c r="P282" s="2338"/>
      <c r="Q282" s="2338"/>
      <c r="R282" s="2338"/>
      <c r="S282" s="2338"/>
      <c r="T282" s="2338"/>
      <c r="U282" s="2338"/>
      <c r="V282" s="2338"/>
      <c r="W282" s="2338"/>
      <c r="X282" s="2338"/>
      <c r="Y282" s="2338"/>
      <c r="Z282" s="2338"/>
      <c r="AA282" s="2338"/>
      <c r="AB282" s="2338"/>
      <c r="AC282" s="2338"/>
      <c r="AD282" s="2338"/>
      <c r="AE282" s="2338"/>
      <c r="AF282" s="2338"/>
      <c r="AG282" s="2338"/>
      <c r="AH282" s="2338"/>
      <c r="AI282" s="2338"/>
      <c r="AJ282" s="2338"/>
      <c r="AK282" s="2338"/>
      <c r="AL282" s="2338"/>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661</v>
      </c>
      <c r="C286" s="58"/>
      <c r="D286" s="58"/>
      <c r="E286" s="58"/>
      <c r="F286" s="58"/>
      <c r="H286" s="2013" t="s">
        <v>2561</v>
      </c>
      <c r="I286" s="2013"/>
      <c r="J286" s="2013"/>
      <c r="K286" s="2013"/>
      <c r="L286" s="2013"/>
      <c r="M286" s="2013"/>
      <c r="N286" s="2013"/>
      <c r="O286" s="2013"/>
      <c r="P286" s="2013"/>
      <c r="Q286" s="2013"/>
      <c r="R286" s="2013"/>
      <c r="T286" s="58" t="s">
        <v>600</v>
      </c>
      <c r="V286" s="58"/>
      <c r="W286" s="58"/>
      <c r="X286" s="58"/>
      <c r="Y286" s="58"/>
      <c r="AA286" s="2013" t="s">
        <v>2566</v>
      </c>
      <c r="AB286" s="2013"/>
      <c r="AC286" s="2013"/>
      <c r="AD286" s="2013"/>
      <c r="AE286" s="2013"/>
      <c r="AF286" s="2013"/>
      <c r="AG286" s="2013"/>
      <c r="AH286" s="2013"/>
      <c r="AI286" s="2013"/>
      <c r="AJ286" s="2013"/>
      <c r="AK286" s="2013"/>
      <c r="BN286" s="61"/>
    </row>
    <row r="287" spans="1:66" ht="12.6">
      <c r="B287" s="58" t="s">
        <v>504</v>
      </c>
      <c r="C287" s="58"/>
      <c r="D287" s="58"/>
      <c r="E287" s="58"/>
      <c r="F287" s="58"/>
      <c r="H287" s="1993" t="s">
        <v>2536</v>
      </c>
      <c r="I287" s="1993"/>
      <c r="J287" s="1993"/>
      <c r="K287" s="1993"/>
      <c r="L287" s="1993"/>
      <c r="M287" s="1993"/>
      <c r="N287" s="1993"/>
      <c r="O287" s="1993"/>
      <c r="P287" s="1993"/>
      <c r="Q287" s="1993"/>
      <c r="R287" s="1993"/>
      <c r="T287" s="58" t="s">
        <v>504</v>
      </c>
      <c r="V287" s="58"/>
      <c r="W287" s="58"/>
      <c r="X287" s="58"/>
      <c r="Y287" s="58"/>
      <c r="AA287" s="1993" t="s">
        <v>2567</v>
      </c>
      <c r="AB287" s="1993"/>
      <c r="AC287" s="1993"/>
      <c r="AD287" s="1993"/>
      <c r="AE287" s="1993"/>
      <c r="AF287" s="1993"/>
      <c r="AG287" s="1993"/>
      <c r="AH287" s="1993"/>
      <c r="AI287" s="1993"/>
      <c r="AJ287" s="1993"/>
      <c r="AK287" s="1993"/>
      <c r="BN287" s="61"/>
    </row>
    <row r="288" spans="1:66" ht="12.6">
      <c r="B288" s="58" t="s">
        <v>505</v>
      </c>
      <c r="C288" s="58"/>
      <c r="D288" s="58"/>
      <c r="E288" s="58"/>
      <c r="F288" s="58"/>
      <c r="H288" s="1993" t="s">
        <v>2568</v>
      </c>
      <c r="I288" s="1993"/>
      <c r="J288" s="1993"/>
      <c r="K288" s="1993"/>
      <c r="L288" s="1993"/>
      <c r="M288" s="1993"/>
      <c r="N288" s="1993"/>
      <c r="O288" s="1993"/>
      <c r="P288" s="1993"/>
      <c r="Q288" s="1993"/>
      <c r="R288" s="1993"/>
      <c r="T288" s="58" t="s">
        <v>79</v>
      </c>
      <c r="V288" s="58"/>
      <c r="W288" s="58"/>
      <c r="X288" s="58"/>
      <c r="Y288" s="58"/>
      <c r="AA288" s="1993" t="s">
        <v>2569</v>
      </c>
      <c r="AB288" s="1993"/>
      <c r="AC288" s="1993"/>
      <c r="AD288" s="1993"/>
      <c r="AE288" s="1993"/>
      <c r="AF288" s="1993"/>
      <c r="AG288" s="1993"/>
      <c r="AH288" s="1993"/>
      <c r="AI288" s="1993"/>
      <c r="AJ288" s="1993"/>
      <c r="AK288" s="1993"/>
      <c r="BN288" s="61"/>
    </row>
    <row r="289" spans="2:66" ht="12.75" customHeight="1">
      <c r="B289" s="58" t="s">
        <v>92</v>
      </c>
      <c r="C289" s="58"/>
      <c r="D289" s="58"/>
      <c r="E289" s="58"/>
      <c r="F289" s="58"/>
      <c r="H289" s="1993" t="s">
        <v>2539</v>
      </c>
      <c r="I289" s="1993"/>
      <c r="J289" s="1993"/>
      <c r="K289" s="1993"/>
      <c r="L289" s="1993"/>
      <c r="M289" s="1993"/>
      <c r="N289" s="1993"/>
      <c r="O289" s="1993"/>
      <c r="P289" s="1993"/>
      <c r="Q289" s="1993"/>
      <c r="R289" s="1993"/>
      <c r="T289" s="58" t="s">
        <v>92</v>
      </c>
      <c r="V289" s="58"/>
      <c r="W289" s="58"/>
      <c r="X289" s="58"/>
      <c r="Y289" s="58"/>
      <c r="AA289" s="1993" t="s">
        <v>2570</v>
      </c>
      <c r="AB289" s="1993"/>
      <c r="AC289" s="1993"/>
      <c r="AD289" s="1993"/>
      <c r="AE289" s="1993"/>
      <c r="AF289" s="1993"/>
      <c r="AG289" s="1993"/>
      <c r="AH289" s="1993"/>
      <c r="AI289" s="1993"/>
      <c r="AJ289" s="1993"/>
      <c r="AK289" s="1993"/>
      <c r="BN289" s="61"/>
    </row>
    <row r="290" spans="2:66" ht="12.75" customHeight="1">
      <c r="B290" s="58" t="s">
        <v>93</v>
      </c>
      <c r="C290" s="58"/>
      <c r="D290" s="58"/>
      <c r="E290" s="58"/>
      <c r="F290" s="58"/>
      <c r="G290" s="58"/>
      <c r="H290" s="2302" t="s">
        <v>2540</v>
      </c>
      <c r="I290" s="2296"/>
      <c r="J290" s="2296"/>
      <c r="K290" s="2296"/>
      <c r="L290" s="2296"/>
      <c r="M290" s="2296"/>
      <c r="N290" s="7" t="s">
        <v>212</v>
      </c>
      <c r="O290" s="7"/>
      <c r="P290" s="2295">
        <v>3015</v>
      </c>
      <c r="Q290" s="2295"/>
      <c r="R290" s="2295"/>
      <c r="S290" s="58"/>
      <c r="T290" s="58" t="s">
        <v>93</v>
      </c>
      <c r="V290" s="58"/>
      <c r="W290" s="58"/>
      <c r="X290" s="58"/>
      <c r="Y290" s="58"/>
      <c r="AA290" s="2302" t="s">
        <v>2571</v>
      </c>
      <c r="AB290" s="2296"/>
      <c r="AC290" s="2296"/>
      <c r="AD290" s="2296"/>
      <c r="AE290" s="2296"/>
      <c r="AF290" s="2296"/>
      <c r="AG290" s="7" t="s">
        <v>212</v>
      </c>
      <c r="AH290" s="7"/>
      <c r="AI290" s="2295"/>
      <c r="AJ290" s="2295"/>
      <c r="AK290" s="2295"/>
      <c r="BN290" s="61"/>
    </row>
    <row r="291" spans="2:66" ht="12.75" customHeight="1">
      <c r="B291" s="58" t="s">
        <v>94</v>
      </c>
      <c r="C291" s="58"/>
      <c r="D291" s="58"/>
      <c r="E291" s="58"/>
      <c r="F291" s="58"/>
      <c r="G291" s="58"/>
      <c r="H291" s="2262" t="s">
        <v>2541</v>
      </c>
      <c r="I291" s="2034"/>
      <c r="J291" s="2034"/>
      <c r="K291" s="2034"/>
      <c r="L291" s="2034"/>
      <c r="M291" s="2034"/>
      <c r="N291" s="60"/>
      <c r="O291" s="60"/>
      <c r="P291" s="62"/>
      <c r="Q291" s="62"/>
      <c r="R291" s="62"/>
      <c r="S291" s="58"/>
      <c r="T291" s="58" t="s">
        <v>94</v>
      </c>
      <c r="V291" s="58"/>
      <c r="W291" s="58"/>
      <c r="X291" s="58"/>
      <c r="Y291" s="58"/>
      <c r="AA291" s="2262" t="s">
        <v>2572</v>
      </c>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1993" t="s">
        <v>2542</v>
      </c>
      <c r="I292" s="1993"/>
      <c r="J292" s="1993"/>
      <c r="K292" s="1993"/>
      <c r="L292" s="1993"/>
      <c r="M292" s="1993"/>
      <c r="N292" s="2013"/>
      <c r="O292" s="2013"/>
      <c r="P292" s="2013"/>
      <c r="Q292" s="2013"/>
      <c r="R292" s="2013"/>
      <c r="S292" s="58"/>
      <c r="T292" s="58" t="s">
        <v>80</v>
      </c>
      <c r="V292" s="58"/>
      <c r="W292" s="58"/>
      <c r="X292" s="58"/>
      <c r="Y292" s="58"/>
      <c r="AA292" s="1993" t="s">
        <v>2573</v>
      </c>
      <c r="AB292" s="1993"/>
      <c r="AC292" s="1993"/>
      <c r="AD292" s="1993"/>
      <c r="AE292" s="1993"/>
      <c r="AF292" s="1993"/>
      <c r="AG292" s="2013"/>
      <c r="AH292" s="2013"/>
      <c r="AI292" s="2013"/>
      <c r="AJ292" s="2013"/>
      <c r="AK292" s="2013"/>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2013" t="s">
        <v>2574</v>
      </c>
      <c r="I294" s="2013"/>
      <c r="J294" s="2013"/>
      <c r="K294" s="2013"/>
      <c r="L294" s="2013"/>
      <c r="M294" s="2013"/>
      <c r="N294" s="2013"/>
      <c r="O294" s="2013"/>
      <c r="P294" s="2013"/>
      <c r="Q294" s="2013"/>
      <c r="R294" s="2013"/>
      <c r="T294" s="58" t="s">
        <v>374</v>
      </c>
      <c r="V294" s="58"/>
      <c r="W294" s="58"/>
      <c r="X294" s="58"/>
      <c r="Y294" s="58"/>
      <c r="AA294" s="2013" t="s">
        <v>2575</v>
      </c>
      <c r="AB294" s="2013"/>
      <c r="AC294" s="2013"/>
      <c r="AD294" s="2013"/>
      <c r="AE294" s="2013"/>
      <c r="AF294" s="2013"/>
      <c r="AG294" s="2013"/>
      <c r="AH294" s="2013"/>
      <c r="AI294" s="2013"/>
      <c r="AJ294" s="2013"/>
      <c r="AK294" s="2013"/>
      <c r="BN294" s="61"/>
    </row>
    <row r="295" spans="2:66" ht="12.6">
      <c r="B295" s="58" t="s">
        <v>504</v>
      </c>
      <c r="C295" s="58"/>
      <c r="D295" s="58"/>
      <c r="E295" s="58"/>
      <c r="F295" s="58"/>
      <c r="H295" s="1993" t="s">
        <v>2576</v>
      </c>
      <c r="I295" s="1993"/>
      <c r="J295" s="1993"/>
      <c r="K295" s="1993"/>
      <c r="L295" s="1993"/>
      <c r="M295" s="1993"/>
      <c r="N295" s="1993"/>
      <c r="O295" s="1993"/>
      <c r="P295" s="1993"/>
      <c r="Q295" s="1993"/>
      <c r="R295" s="1993"/>
      <c r="T295" s="58" t="s">
        <v>504</v>
      </c>
      <c r="V295" s="58"/>
      <c r="W295" s="58"/>
      <c r="X295" s="58"/>
      <c r="Y295" s="58"/>
      <c r="AA295" s="1993" t="s">
        <v>2536</v>
      </c>
      <c r="AB295" s="1993"/>
      <c r="AC295" s="1993"/>
      <c r="AD295" s="1993"/>
      <c r="AE295" s="1993"/>
      <c r="AF295" s="1993"/>
      <c r="AG295" s="1993"/>
      <c r="AH295" s="1993"/>
      <c r="AI295" s="1993"/>
      <c r="AJ295" s="1993"/>
      <c r="AK295" s="1993"/>
      <c r="BN295" s="61"/>
    </row>
    <row r="296" spans="2:66" ht="12.6">
      <c r="B296" s="58" t="s">
        <v>505</v>
      </c>
      <c r="C296" s="58"/>
      <c r="D296" s="58"/>
      <c r="E296" s="58"/>
      <c r="F296" s="58"/>
      <c r="H296" s="1993" t="s">
        <v>2568</v>
      </c>
      <c r="I296" s="1993"/>
      <c r="J296" s="1993"/>
      <c r="K296" s="1993"/>
      <c r="L296" s="1993"/>
      <c r="M296" s="1993"/>
      <c r="N296" s="1993"/>
      <c r="O296" s="1993"/>
      <c r="P296" s="1993"/>
      <c r="Q296" s="1993"/>
      <c r="R296" s="1993"/>
      <c r="T296" s="58" t="s">
        <v>79</v>
      </c>
      <c r="V296" s="58"/>
      <c r="W296" s="58"/>
      <c r="X296" s="58"/>
      <c r="Y296" s="58"/>
      <c r="AA296" s="1993" t="s">
        <v>2568</v>
      </c>
      <c r="AB296" s="1993"/>
      <c r="AC296" s="1993"/>
      <c r="AD296" s="1993"/>
      <c r="AE296" s="1993"/>
      <c r="AF296" s="1993"/>
      <c r="AG296" s="1993"/>
      <c r="AH296" s="1993"/>
      <c r="AI296" s="1993"/>
      <c r="AJ296" s="1993"/>
      <c r="AK296" s="1993"/>
      <c r="BN296" s="61"/>
    </row>
    <row r="297" spans="2:66" ht="12.6">
      <c r="B297" s="58" t="s">
        <v>92</v>
      </c>
      <c r="C297" s="58"/>
      <c r="D297" s="58"/>
      <c r="E297" s="58"/>
      <c r="F297" s="58"/>
      <c r="H297" s="1993" t="s">
        <v>2577</v>
      </c>
      <c r="I297" s="1993"/>
      <c r="J297" s="1993"/>
      <c r="K297" s="1993"/>
      <c r="L297" s="1993"/>
      <c r="M297" s="1993"/>
      <c r="N297" s="1993"/>
      <c r="O297" s="1993"/>
      <c r="P297" s="1993"/>
      <c r="Q297" s="1993"/>
      <c r="R297" s="1993"/>
      <c r="T297" s="58" t="s">
        <v>92</v>
      </c>
      <c r="V297" s="58"/>
      <c r="W297" s="58"/>
      <c r="X297" s="58"/>
      <c r="Y297" s="58"/>
      <c r="AA297" s="1993" t="s">
        <v>2539</v>
      </c>
      <c r="AB297" s="1993"/>
      <c r="AC297" s="1993"/>
      <c r="AD297" s="1993"/>
      <c r="AE297" s="1993"/>
      <c r="AF297" s="1993"/>
      <c r="AG297" s="1993"/>
      <c r="AH297" s="1993"/>
      <c r="AI297" s="1993"/>
      <c r="AJ297" s="1993"/>
      <c r="AK297" s="1993"/>
      <c r="BN297" s="61"/>
    </row>
    <row r="298" spans="2:66" ht="12.6">
      <c r="B298" s="58" t="s">
        <v>93</v>
      </c>
      <c r="C298" s="58"/>
      <c r="D298" s="58"/>
      <c r="E298" s="58"/>
      <c r="F298" s="58"/>
      <c r="G298" s="58"/>
      <c r="H298" s="2302" t="s">
        <v>2578</v>
      </c>
      <c r="I298" s="2296"/>
      <c r="J298" s="2296"/>
      <c r="K298" s="2296"/>
      <c r="L298" s="2296"/>
      <c r="M298" s="2296"/>
      <c r="N298" s="7" t="s">
        <v>212</v>
      </c>
      <c r="O298" s="7"/>
      <c r="P298" s="2295"/>
      <c r="Q298" s="2295"/>
      <c r="R298" s="2295"/>
      <c r="S298" s="58"/>
      <c r="T298" s="58" t="s">
        <v>93</v>
      </c>
      <c r="V298" s="58"/>
      <c r="W298" s="58"/>
      <c r="X298" s="58"/>
      <c r="Y298" s="58"/>
      <c r="AA298" s="2302" t="s">
        <v>2540</v>
      </c>
      <c r="AB298" s="2296"/>
      <c r="AC298" s="2296"/>
      <c r="AD298" s="2296"/>
      <c r="AE298" s="2296"/>
      <c r="AF298" s="2296"/>
      <c r="AG298" s="7" t="s">
        <v>212</v>
      </c>
      <c r="AH298" s="7"/>
      <c r="AI298" s="2295">
        <v>3015</v>
      </c>
      <c r="AJ298" s="2295"/>
      <c r="AK298" s="2295"/>
      <c r="BN298" s="61"/>
    </row>
    <row r="299" spans="2:66" ht="12.75" customHeight="1">
      <c r="B299" s="58" t="s">
        <v>94</v>
      </c>
      <c r="C299" s="58"/>
      <c r="D299" s="58"/>
      <c r="E299" s="58"/>
      <c r="F299" s="58"/>
      <c r="G299" s="58"/>
      <c r="H299" s="2262" t="s">
        <v>2541</v>
      </c>
      <c r="I299" s="2034"/>
      <c r="J299" s="2034"/>
      <c r="K299" s="2034"/>
      <c r="L299" s="2034"/>
      <c r="M299" s="2034"/>
      <c r="N299" s="60"/>
      <c r="O299" s="60"/>
      <c r="P299" s="62"/>
      <c r="Q299" s="62"/>
      <c r="R299" s="62"/>
      <c r="S299" s="58"/>
      <c r="T299" s="58" t="s">
        <v>94</v>
      </c>
      <c r="V299" s="58"/>
      <c r="W299" s="58"/>
      <c r="X299" s="58"/>
      <c r="Y299" s="58"/>
      <c r="AA299" s="2262" t="s">
        <v>2579</v>
      </c>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1993" t="s">
        <v>2580</v>
      </c>
      <c r="I300" s="1993"/>
      <c r="J300" s="1993"/>
      <c r="K300" s="1993"/>
      <c r="L300" s="1993"/>
      <c r="M300" s="1993"/>
      <c r="N300" s="2013"/>
      <c r="O300" s="2013"/>
      <c r="P300" s="2013"/>
      <c r="Q300" s="2013"/>
      <c r="R300" s="2013"/>
      <c r="S300" s="58"/>
      <c r="T300" s="58" t="s">
        <v>80</v>
      </c>
      <c r="V300" s="58"/>
      <c r="W300" s="58"/>
      <c r="X300" s="58"/>
      <c r="Y300" s="58"/>
      <c r="AA300" s="1993" t="s">
        <v>2542</v>
      </c>
      <c r="AB300" s="1993"/>
      <c r="AC300" s="1993"/>
      <c r="AD300" s="1993"/>
      <c r="AE300" s="1993"/>
      <c r="AF300" s="1993"/>
      <c r="AG300" s="2013"/>
      <c r="AH300" s="2013"/>
      <c r="AI300" s="2013"/>
      <c r="AJ300" s="2013"/>
      <c r="AK300" s="2013"/>
      <c r="BN300" s="61"/>
    </row>
    <row r="301" spans="2:66" ht="12.75" customHeight="1">
      <c r="BN301" s="61"/>
    </row>
    <row r="302" spans="2:66" ht="12.75" customHeight="1">
      <c r="B302" s="58" t="s">
        <v>81</v>
      </c>
      <c r="C302" s="58"/>
      <c r="D302" s="58"/>
      <c r="E302" s="58"/>
      <c r="F302" s="58"/>
      <c r="H302" s="2013" t="s">
        <v>2581</v>
      </c>
      <c r="I302" s="2013"/>
      <c r="J302" s="2013"/>
      <c r="K302" s="2013"/>
      <c r="L302" s="2013"/>
      <c r="M302" s="2013"/>
      <c r="N302" s="2013"/>
      <c r="O302" s="2013"/>
      <c r="P302" s="2013"/>
      <c r="Q302" s="2013"/>
      <c r="R302" s="2013"/>
      <c r="T302" s="7" t="s">
        <v>943</v>
      </c>
      <c r="V302" s="58"/>
      <c r="W302" s="58"/>
      <c r="X302" s="58"/>
      <c r="Y302" s="58"/>
      <c r="AA302" s="2013" t="s">
        <v>2582</v>
      </c>
      <c r="AB302" s="2013"/>
      <c r="AC302" s="2013"/>
      <c r="AD302" s="2013"/>
      <c r="AE302" s="2013"/>
      <c r="AF302" s="2013"/>
      <c r="AG302" s="2013"/>
      <c r="AH302" s="2013"/>
      <c r="AI302" s="2013"/>
      <c r="AJ302" s="2013"/>
      <c r="AK302" s="2013"/>
      <c r="BN302" s="61"/>
    </row>
    <row r="303" spans="2:66" ht="12.6">
      <c r="B303" s="58" t="s">
        <v>504</v>
      </c>
      <c r="C303" s="58"/>
      <c r="D303" s="58"/>
      <c r="E303" s="58"/>
      <c r="F303" s="58"/>
      <c r="H303" s="1993" t="s">
        <v>2583</v>
      </c>
      <c r="I303" s="1993"/>
      <c r="J303" s="1993"/>
      <c r="K303" s="1993"/>
      <c r="L303" s="1993"/>
      <c r="M303" s="1993"/>
      <c r="N303" s="1993"/>
      <c r="O303" s="1993"/>
      <c r="P303" s="1993"/>
      <c r="Q303" s="1993"/>
      <c r="R303" s="1993"/>
      <c r="T303" s="58" t="s">
        <v>504</v>
      </c>
      <c r="V303" s="58"/>
      <c r="W303" s="58"/>
      <c r="X303" s="58"/>
      <c r="Y303" s="58"/>
      <c r="AA303" s="1993" t="s">
        <v>2584</v>
      </c>
      <c r="AB303" s="1993"/>
      <c r="AC303" s="1993"/>
      <c r="AD303" s="1993"/>
      <c r="AE303" s="1993"/>
      <c r="AF303" s="1993"/>
      <c r="AG303" s="1993"/>
      <c r="AH303" s="1993"/>
      <c r="AI303" s="1993"/>
      <c r="AJ303" s="1993"/>
      <c r="AK303" s="1993"/>
      <c r="BN303" s="61"/>
    </row>
    <row r="304" spans="2:66" ht="12.6">
      <c r="B304" s="58" t="s">
        <v>505</v>
      </c>
      <c r="C304" s="58"/>
      <c r="D304" s="58"/>
      <c r="E304" s="58"/>
      <c r="F304" s="58"/>
      <c r="H304" s="1993" t="s">
        <v>2585</v>
      </c>
      <c r="I304" s="1993"/>
      <c r="J304" s="1993"/>
      <c r="K304" s="1993"/>
      <c r="L304" s="1993"/>
      <c r="M304" s="1993"/>
      <c r="N304" s="1993"/>
      <c r="O304" s="1993"/>
      <c r="P304" s="1993"/>
      <c r="Q304" s="1993"/>
      <c r="R304" s="1993"/>
      <c r="T304" s="58" t="s">
        <v>79</v>
      </c>
      <c r="V304" s="58"/>
      <c r="W304" s="58"/>
      <c r="X304" s="58"/>
      <c r="Y304" s="58"/>
      <c r="AA304" s="1993" t="s">
        <v>2586</v>
      </c>
      <c r="AB304" s="1993"/>
      <c r="AC304" s="1993"/>
      <c r="AD304" s="1993"/>
      <c r="AE304" s="1993"/>
      <c r="AF304" s="1993"/>
      <c r="AG304" s="1993"/>
      <c r="AH304" s="1993"/>
      <c r="AI304" s="1993"/>
      <c r="AJ304" s="1993"/>
      <c r="AK304" s="1993"/>
      <c r="BN304" s="61"/>
    </row>
    <row r="305" spans="2:66" ht="12.6">
      <c r="B305" s="58" t="s">
        <v>92</v>
      </c>
      <c r="C305" s="58"/>
      <c r="D305" s="58"/>
      <c r="E305" s="58"/>
      <c r="F305" s="58"/>
      <c r="H305" s="1993" t="s">
        <v>2587</v>
      </c>
      <c r="I305" s="1993"/>
      <c r="J305" s="1993"/>
      <c r="K305" s="1993"/>
      <c r="L305" s="1993"/>
      <c r="M305" s="1993"/>
      <c r="N305" s="1993"/>
      <c r="O305" s="1993"/>
      <c r="P305" s="1993"/>
      <c r="Q305" s="1993"/>
      <c r="R305" s="1993"/>
      <c r="T305" s="58" t="s">
        <v>92</v>
      </c>
      <c r="V305" s="58"/>
      <c r="W305" s="58"/>
      <c r="X305" s="58"/>
      <c r="Y305" s="58"/>
      <c r="AA305" s="1993" t="s">
        <v>2588</v>
      </c>
      <c r="AB305" s="1993"/>
      <c r="AC305" s="1993"/>
      <c r="AD305" s="1993"/>
      <c r="AE305" s="1993"/>
      <c r="AF305" s="1993"/>
      <c r="AG305" s="1993"/>
      <c r="AH305" s="1993"/>
      <c r="AI305" s="1993"/>
      <c r="AJ305" s="1993"/>
      <c r="AK305" s="1993"/>
      <c r="BN305" s="61"/>
    </row>
    <row r="306" spans="2:66" ht="12.6">
      <c r="B306" s="58" t="s">
        <v>93</v>
      </c>
      <c r="C306" s="58"/>
      <c r="D306" s="58"/>
      <c r="E306" s="58"/>
      <c r="F306" s="58"/>
      <c r="G306" s="58"/>
      <c r="H306" s="2302" t="s">
        <v>2589</v>
      </c>
      <c r="I306" s="2296"/>
      <c r="J306" s="2296"/>
      <c r="K306" s="2296"/>
      <c r="L306" s="2296"/>
      <c r="M306" s="2296"/>
      <c r="N306" s="7" t="s">
        <v>212</v>
      </c>
      <c r="O306" s="7"/>
      <c r="P306" s="2295"/>
      <c r="Q306" s="2295"/>
      <c r="R306" s="2295"/>
      <c r="S306" s="58"/>
      <c r="T306" s="58" t="s">
        <v>93</v>
      </c>
      <c r="V306" s="58"/>
      <c r="W306" s="58"/>
      <c r="X306" s="58"/>
      <c r="Y306" s="58"/>
      <c r="AA306" s="2302" t="s">
        <v>2590</v>
      </c>
      <c r="AB306" s="2296"/>
      <c r="AC306" s="2296"/>
      <c r="AD306" s="2296"/>
      <c r="AE306" s="2296"/>
      <c r="AF306" s="2296"/>
      <c r="AG306" s="7" t="s">
        <v>212</v>
      </c>
      <c r="AH306" s="7"/>
      <c r="AI306" s="2295"/>
      <c r="AJ306" s="2295"/>
      <c r="AK306" s="2295"/>
      <c r="BN306" s="61"/>
    </row>
    <row r="307" spans="2:66" ht="12.6">
      <c r="B307" s="58" t="s">
        <v>94</v>
      </c>
      <c r="C307" s="58"/>
      <c r="D307" s="58"/>
      <c r="E307" s="58"/>
      <c r="F307" s="58"/>
      <c r="G307" s="58"/>
      <c r="H307" s="2262" t="s">
        <v>2591</v>
      </c>
      <c r="I307" s="2034"/>
      <c r="J307" s="2034"/>
      <c r="K307" s="2034"/>
      <c r="L307" s="2034"/>
      <c r="M307" s="2034"/>
      <c r="N307" s="60"/>
      <c r="O307" s="60"/>
      <c r="P307" s="62"/>
      <c r="Q307" s="62"/>
      <c r="R307" s="62"/>
      <c r="S307" s="58"/>
      <c r="T307" s="58" t="s">
        <v>94</v>
      </c>
      <c r="V307" s="58"/>
      <c r="W307" s="58"/>
      <c r="X307" s="58"/>
      <c r="Y307" s="58"/>
      <c r="AA307" s="2262" t="s">
        <v>2592</v>
      </c>
      <c r="AB307" s="2034"/>
      <c r="AC307" s="2034"/>
      <c r="AD307" s="2034"/>
      <c r="AE307" s="2034"/>
      <c r="AF307" s="2034"/>
      <c r="AG307" s="60"/>
      <c r="AH307" s="60"/>
      <c r="AI307" s="62"/>
      <c r="AJ307" s="62"/>
      <c r="AK307" s="62"/>
      <c r="BN307" s="61"/>
    </row>
    <row r="308" spans="2:66" ht="12.6">
      <c r="B308" s="58" t="s">
        <v>80</v>
      </c>
      <c r="C308" s="58"/>
      <c r="D308" s="58"/>
      <c r="E308" s="58"/>
      <c r="F308" s="58"/>
      <c r="G308" s="58"/>
      <c r="H308" s="1993" t="s">
        <v>2593</v>
      </c>
      <c r="I308" s="1993"/>
      <c r="J308" s="1993"/>
      <c r="K308" s="1993"/>
      <c r="L308" s="1993"/>
      <c r="M308" s="1993"/>
      <c r="N308" s="2013"/>
      <c r="O308" s="2013"/>
      <c r="P308" s="2013"/>
      <c r="Q308" s="2013"/>
      <c r="R308" s="2013"/>
      <c r="S308" s="58"/>
      <c r="T308" s="58" t="s">
        <v>80</v>
      </c>
      <c r="V308" s="58"/>
      <c r="W308" s="58"/>
      <c r="X308" s="58"/>
      <c r="Y308" s="58"/>
      <c r="AA308" s="1993" t="s">
        <v>2594</v>
      </c>
      <c r="AB308" s="1993"/>
      <c r="AC308" s="1993"/>
      <c r="AD308" s="1993"/>
      <c r="AE308" s="1993"/>
      <c r="AF308" s="1993"/>
      <c r="AG308" s="2013"/>
      <c r="AH308" s="2013"/>
      <c r="AI308" s="2013"/>
      <c r="AJ308" s="2013"/>
      <c r="AK308" s="2013"/>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976</v>
      </c>
      <c r="C310" s="58"/>
      <c r="D310" s="58"/>
      <c r="E310" s="58"/>
      <c r="F310" s="58"/>
      <c r="H310" s="2013" t="s">
        <v>2581</v>
      </c>
      <c r="I310" s="2013"/>
      <c r="J310" s="2013"/>
      <c r="K310" s="2013"/>
      <c r="L310" s="2013"/>
      <c r="M310" s="2013"/>
      <c r="N310" s="2013"/>
      <c r="O310" s="2013"/>
      <c r="P310" s="2013"/>
      <c r="Q310" s="2013"/>
      <c r="R310" s="2013"/>
      <c r="S310" s="58"/>
      <c r="T310" s="58" t="s">
        <v>375</v>
      </c>
      <c r="V310" s="58"/>
      <c r="W310" s="58"/>
      <c r="X310" s="58"/>
      <c r="Y310" s="58"/>
      <c r="AA310" s="2013" t="s">
        <v>2595</v>
      </c>
      <c r="AB310" s="2013"/>
      <c r="AC310" s="2013"/>
      <c r="AD310" s="2013"/>
      <c r="AE310" s="2013"/>
      <c r="AF310" s="2013"/>
      <c r="AG310" s="2013"/>
      <c r="AH310" s="2013"/>
      <c r="AI310" s="2013"/>
      <c r="AJ310" s="2013"/>
      <c r="AK310" s="2013"/>
      <c r="BN310" s="61"/>
    </row>
    <row r="311" spans="2:66" ht="12.6">
      <c r="B311" s="58" t="s">
        <v>504</v>
      </c>
      <c r="C311" s="58"/>
      <c r="D311" s="58"/>
      <c r="E311" s="58"/>
      <c r="F311" s="58"/>
      <c r="H311" s="1993" t="s">
        <v>2583</v>
      </c>
      <c r="I311" s="1993"/>
      <c r="J311" s="1993"/>
      <c r="K311" s="1993"/>
      <c r="L311" s="1993"/>
      <c r="M311" s="1993"/>
      <c r="N311" s="1993"/>
      <c r="O311" s="1993"/>
      <c r="P311" s="1993"/>
      <c r="Q311" s="1993"/>
      <c r="R311" s="1993"/>
      <c r="S311" s="58"/>
      <c r="T311" s="58" t="s">
        <v>504</v>
      </c>
      <c r="V311" s="58"/>
      <c r="W311" s="58"/>
      <c r="X311" s="58"/>
      <c r="Y311" s="58"/>
      <c r="AA311" s="1993" t="s">
        <v>2596</v>
      </c>
      <c r="AB311" s="1993"/>
      <c r="AC311" s="1993"/>
      <c r="AD311" s="1993"/>
      <c r="AE311" s="1993"/>
      <c r="AF311" s="1993"/>
      <c r="AG311" s="1993"/>
      <c r="AH311" s="1993"/>
      <c r="AI311" s="1993"/>
      <c r="AJ311" s="1993"/>
      <c r="AK311" s="1993"/>
      <c r="BN311" s="61"/>
    </row>
    <row r="312" spans="2:66" ht="12.75" customHeight="1">
      <c r="B312" s="58" t="s">
        <v>505</v>
      </c>
      <c r="C312" s="58"/>
      <c r="D312" s="58"/>
      <c r="E312" s="58"/>
      <c r="F312" s="58"/>
      <c r="H312" s="1993" t="s">
        <v>2585</v>
      </c>
      <c r="I312" s="1993"/>
      <c r="J312" s="1993"/>
      <c r="K312" s="1993"/>
      <c r="L312" s="1993"/>
      <c r="M312" s="1993"/>
      <c r="N312" s="1993"/>
      <c r="O312" s="1993"/>
      <c r="P312" s="1993"/>
      <c r="Q312" s="1993"/>
      <c r="R312" s="1993"/>
      <c r="S312" s="58"/>
      <c r="T312" s="58" t="s">
        <v>79</v>
      </c>
      <c r="V312" s="58"/>
      <c r="W312" s="58"/>
      <c r="X312" s="58"/>
      <c r="Y312" s="58"/>
      <c r="AA312" s="1993" t="s">
        <v>2597</v>
      </c>
      <c r="AB312" s="1993"/>
      <c r="AC312" s="1993"/>
      <c r="AD312" s="1993"/>
      <c r="AE312" s="1993"/>
      <c r="AF312" s="1993"/>
      <c r="AG312" s="1993"/>
      <c r="AH312" s="1993"/>
      <c r="AI312" s="1993"/>
      <c r="AJ312" s="1993"/>
      <c r="AK312" s="1993"/>
      <c r="BN312" s="61"/>
    </row>
    <row r="313" spans="2:66" ht="12.6">
      <c r="B313" s="58" t="s">
        <v>92</v>
      </c>
      <c r="C313" s="58"/>
      <c r="D313" s="58"/>
      <c r="E313" s="58"/>
      <c r="F313" s="58"/>
      <c r="H313" s="1993" t="s">
        <v>2587</v>
      </c>
      <c r="I313" s="1993"/>
      <c r="J313" s="1993"/>
      <c r="K313" s="1993"/>
      <c r="L313" s="1993"/>
      <c r="M313" s="1993"/>
      <c r="N313" s="1993"/>
      <c r="O313" s="1993"/>
      <c r="P313" s="1993"/>
      <c r="Q313" s="1993"/>
      <c r="R313" s="1993"/>
      <c r="S313" s="58"/>
      <c r="T313" s="58" t="s">
        <v>92</v>
      </c>
      <c r="V313" s="58"/>
      <c r="W313" s="58"/>
      <c r="X313" s="58"/>
      <c r="Y313" s="58"/>
      <c r="AA313" s="1993" t="s">
        <v>2598</v>
      </c>
      <c r="AB313" s="1993"/>
      <c r="AC313" s="1993"/>
      <c r="AD313" s="1993"/>
      <c r="AE313" s="1993"/>
      <c r="AF313" s="1993"/>
      <c r="AG313" s="1993"/>
      <c r="AH313" s="1993"/>
      <c r="AI313" s="1993"/>
      <c r="AJ313" s="1993"/>
      <c r="AK313" s="1993"/>
      <c r="BN313" s="61"/>
    </row>
    <row r="314" spans="2:66" ht="12.6">
      <c r="B314" s="58" t="s">
        <v>93</v>
      </c>
      <c r="C314" s="58"/>
      <c r="D314" s="58"/>
      <c r="E314" s="58"/>
      <c r="F314" s="58"/>
      <c r="G314" s="58"/>
      <c r="H314" s="2302" t="s">
        <v>2589</v>
      </c>
      <c r="I314" s="2296"/>
      <c r="J314" s="2296"/>
      <c r="K314" s="2296"/>
      <c r="L314" s="2296"/>
      <c r="M314" s="2296"/>
      <c r="N314" s="7" t="s">
        <v>212</v>
      </c>
      <c r="O314" s="7"/>
      <c r="P314" s="2295"/>
      <c r="Q314" s="2295"/>
      <c r="R314" s="2295"/>
      <c r="S314" s="58"/>
      <c r="T314" s="58" t="s">
        <v>93</v>
      </c>
      <c r="V314" s="58"/>
      <c r="W314" s="58"/>
      <c r="X314" s="58"/>
      <c r="Y314" s="58"/>
      <c r="AA314" s="2302" t="s">
        <v>2599</v>
      </c>
      <c r="AB314" s="2296"/>
      <c r="AC314" s="2296"/>
      <c r="AD314" s="2296"/>
      <c r="AE314" s="2296"/>
      <c r="AF314" s="2296"/>
      <c r="AG314" s="7" t="s">
        <v>212</v>
      </c>
      <c r="AH314" s="7"/>
      <c r="AI314" s="2295"/>
      <c r="AJ314" s="2295"/>
      <c r="AK314" s="2295"/>
      <c r="BN314" s="61"/>
    </row>
    <row r="315" spans="2:66" ht="12.6">
      <c r="B315" s="58" t="s">
        <v>94</v>
      </c>
      <c r="C315" s="58"/>
      <c r="D315" s="58"/>
      <c r="E315" s="58"/>
      <c r="F315" s="58"/>
      <c r="G315" s="58"/>
      <c r="H315" s="2262" t="s">
        <v>2591</v>
      </c>
      <c r="I315" s="2034"/>
      <c r="J315" s="2034"/>
      <c r="K315" s="2034"/>
      <c r="L315" s="2034"/>
      <c r="M315" s="2034"/>
      <c r="N315" s="60"/>
      <c r="O315" s="60"/>
      <c r="P315" s="62"/>
      <c r="Q315" s="62"/>
      <c r="R315" s="62"/>
      <c r="S315" s="58"/>
      <c r="T315" s="58" t="s">
        <v>94</v>
      </c>
      <c r="V315" s="58"/>
      <c r="W315" s="58"/>
      <c r="X315" s="58"/>
      <c r="Y315" s="58"/>
      <c r="AA315" s="2262" t="s">
        <v>2600</v>
      </c>
      <c r="AB315" s="2034"/>
      <c r="AC315" s="2034"/>
      <c r="AD315" s="2034"/>
      <c r="AE315" s="2034"/>
      <c r="AF315" s="2034"/>
      <c r="AG315" s="60"/>
      <c r="AH315" s="60"/>
      <c r="AI315" s="62"/>
      <c r="AJ315" s="62"/>
      <c r="AK315" s="62"/>
      <c r="BN315" s="61"/>
    </row>
    <row r="316" spans="2:66" ht="12.6">
      <c r="B316" s="58" t="s">
        <v>80</v>
      </c>
      <c r="C316" s="58"/>
      <c r="D316" s="58"/>
      <c r="E316" s="58"/>
      <c r="F316" s="58"/>
      <c r="G316" s="58"/>
      <c r="H316" s="1993" t="s">
        <v>2593</v>
      </c>
      <c r="I316" s="1993"/>
      <c r="J316" s="1993"/>
      <c r="K316" s="1993"/>
      <c r="L316" s="1993"/>
      <c r="M316" s="1993"/>
      <c r="N316" s="2013"/>
      <c r="O316" s="2013"/>
      <c r="P316" s="2013"/>
      <c r="Q316" s="2013"/>
      <c r="R316" s="2013"/>
      <c r="S316" s="58"/>
      <c r="T316" s="58" t="s">
        <v>80</v>
      </c>
      <c r="V316" s="58"/>
      <c r="W316" s="58"/>
      <c r="X316" s="58"/>
      <c r="Y316" s="58"/>
      <c r="AA316" s="1993" t="s">
        <v>2601</v>
      </c>
      <c r="AB316" s="1993"/>
      <c r="AC316" s="1993"/>
      <c r="AD316" s="1993"/>
      <c r="AE316" s="1993"/>
      <c r="AF316" s="1993"/>
      <c r="AG316" s="2013"/>
      <c r="AH316" s="2013"/>
      <c r="AI316" s="2013"/>
      <c r="AJ316" s="2013"/>
      <c r="AK316" s="2013"/>
      <c r="BN316" s="61"/>
    </row>
    <row r="317" spans="2:66" ht="12.6">
      <c r="BN317" s="61"/>
    </row>
    <row r="318" spans="2:66" ht="12.6">
      <c r="B318" s="7" t="s">
        <v>977</v>
      </c>
      <c r="C318" s="58"/>
      <c r="D318" s="58"/>
      <c r="E318" s="58"/>
      <c r="F318" s="58"/>
      <c r="H318" s="2013" t="s">
        <v>2602</v>
      </c>
      <c r="I318" s="2013"/>
      <c r="J318" s="2013"/>
      <c r="K318" s="2013"/>
      <c r="L318" s="2013"/>
      <c r="M318" s="2013"/>
      <c r="N318" s="2013"/>
      <c r="O318" s="2013"/>
      <c r="P318" s="2013"/>
      <c r="Q318" s="2013"/>
      <c r="R318" s="2013"/>
      <c r="T318" s="58" t="s">
        <v>376</v>
      </c>
      <c r="V318" s="58"/>
      <c r="W318" s="58"/>
      <c r="X318" s="58"/>
      <c r="Y318" s="58"/>
      <c r="AA318" s="2013" t="s">
        <v>2603</v>
      </c>
      <c r="AB318" s="2013"/>
      <c r="AC318" s="2013"/>
      <c r="AD318" s="2013"/>
      <c r="AE318" s="2013"/>
      <c r="AF318" s="2013"/>
      <c r="AG318" s="2013"/>
      <c r="AH318" s="2013"/>
      <c r="AI318" s="2013"/>
      <c r="AJ318" s="2013"/>
      <c r="AK318" s="2013"/>
      <c r="BN318" s="61"/>
    </row>
    <row r="319" spans="2:66" ht="12.6">
      <c r="B319" s="58" t="s">
        <v>504</v>
      </c>
      <c r="C319" s="58"/>
      <c r="D319" s="58"/>
      <c r="E319" s="58"/>
      <c r="F319" s="58"/>
      <c r="H319" s="1993"/>
      <c r="I319" s="1993"/>
      <c r="J319" s="1993"/>
      <c r="K319" s="1993"/>
      <c r="L319" s="1993"/>
      <c r="M319" s="1993"/>
      <c r="N319" s="1993"/>
      <c r="O319" s="1993"/>
      <c r="P319" s="1993"/>
      <c r="Q319" s="1993"/>
      <c r="R319" s="1993"/>
      <c r="T319" s="58" t="s">
        <v>504</v>
      </c>
      <c r="V319" s="58"/>
      <c r="W319" s="58"/>
      <c r="X319" s="58"/>
      <c r="Y319" s="58"/>
      <c r="AA319" s="1993" t="s">
        <v>2604</v>
      </c>
      <c r="AB319" s="1993"/>
      <c r="AC319" s="1993"/>
      <c r="AD319" s="1993"/>
      <c r="AE319" s="1993"/>
      <c r="AF319" s="1993"/>
      <c r="AG319" s="1993"/>
      <c r="AH319" s="1993"/>
      <c r="AI319" s="1993"/>
      <c r="AJ319" s="1993"/>
      <c r="AK319" s="1993"/>
      <c r="BN319" s="61"/>
    </row>
    <row r="320" spans="2:66" ht="12.6">
      <c r="B320" s="58" t="s">
        <v>505</v>
      </c>
      <c r="C320" s="58"/>
      <c r="D320" s="58"/>
      <c r="E320" s="58"/>
      <c r="F320" s="58"/>
      <c r="H320" s="1993"/>
      <c r="I320" s="1993"/>
      <c r="J320" s="1993"/>
      <c r="K320" s="1993"/>
      <c r="L320" s="1993"/>
      <c r="M320" s="1993"/>
      <c r="N320" s="1993"/>
      <c r="O320" s="1993"/>
      <c r="P320" s="1993"/>
      <c r="Q320" s="1993"/>
      <c r="R320" s="1993"/>
      <c r="T320" s="58" t="s">
        <v>79</v>
      </c>
      <c r="V320" s="58"/>
      <c r="W320" s="58"/>
      <c r="X320" s="58"/>
      <c r="Y320" s="58"/>
      <c r="AA320" s="1993" t="s">
        <v>2605</v>
      </c>
      <c r="AB320" s="1993"/>
      <c r="AC320" s="1993"/>
      <c r="AD320" s="1993"/>
      <c r="AE320" s="1993"/>
      <c r="AF320" s="1993"/>
      <c r="AG320" s="1993"/>
      <c r="AH320" s="1993"/>
      <c r="AI320" s="1993"/>
      <c r="AJ320" s="1993"/>
      <c r="AK320" s="1993"/>
      <c r="BN320" s="61"/>
    </row>
    <row r="321" spans="1:66" ht="12.75" customHeight="1">
      <c r="A321" s="39"/>
      <c r="B321" s="58" t="s">
        <v>92</v>
      </c>
      <c r="C321" s="58"/>
      <c r="D321" s="58"/>
      <c r="E321" s="58"/>
      <c r="F321" s="58"/>
      <c r="H321" s="1993"/>
      <c r="I321" s="1993"/>
      <c r="J321" s="1993"/>
      <c r="K321" s="1993"/>
      <c r="L321" s="1993"/>
      <c r="M321" s="1993"/>
      <c r="N321" s="1993"/>
      <c r="O321" s="1993"/>
      <c r="P321" s="1993"/>
      <c r="Q321" s="1993"/>
      <c r="R321" s="1993"/>
      <c r="T321" s="58" t="s">
        <v>92</v>
      </c>
      <c r="V321" s="58"/>
      <c r="W321" s="58"/>
      <c r="X321" s="58"/>
      <c r="Y321" s="58"/>
      <c r="AA321" s="1993" t="s">
        <v>2606</v>
      </c>
      <c r="AB321" s="1993"/>
      <c r="AC321" s="1993"/>
      <c r="AD321" s="1993"/>
      <c r="AE321" s="1993"/>
      <c r="AF321" s="1993"/>
      <c r="AG321" s="1993"/>
      <c r="AH321" s="1993"/>
      <c r="AI321" s="1993"/>
      <c r="AJ321" s="1993"/>
      <c r="AK321" s="1993"/>
      <c r="AL321" s="39"/>
      <c r="BN321" s="61"/>
    </row>
    <row r="322" spans="1:66" ht="12.6">
      <c r="A322" s="39"/>
      <c r="B322" s="58" t="s">
        <v>93</v>
      </c>
      <c r="C322" s="58"/>
      <c r="D322" s="58"/>
      <c r="E322" s="58"/>
      <c r="F322" s="58"/>
      <c r="G322" s="58"/>
      <c r="H322" s="2296"/>
      <c r="I322" s="2296"/>
      <c r="J322" s="2296"/>
      <c r="K322" s="2296"/>
      <c r="L322" s="2296"/>
      <c r="M322" s="2296"/>
      <c r="N322" s="7" t="s">
        <v>212</v>
      </c>
      <c r="O322" s="7"/>
      <c r="P322" s="2295"/>
      <c r="Q322" s="2295"/>
      <c r="R322" s="2295"/>
      <c r="S322" s="58"/>
      <c r="T322" s="58" t="s">
        <v>93</v>
      </c>
      <c r="V322" s="58"/>
      <c r="W322" s="58"/>
      <c r="X322" s="58"/>
      <c r="Y322" s="58"/>
      <c r="AA322" s="2302" t="s">
        <v>2607</v>
      </c>
      <c r="AB322" s="2296"/>
      <c r="AC322" s="2296"/>
      <c r="AD322" s="2296"/>
      <c r="AE322" s="2296"/>
      <c r="AF322" s="2296"/>
      <c r="AG322" s="7" t="s">
        <v>212</v>
      </c>
      <c r="AH322" s="7"/>
      <c r="AI322" s="2295"/>
      <c r="AJ322" s="2295"/>
      <c r="AK322" s="2295"/>
      <c r="AL322" s="39"/>
      <c r="BN322" s="61"/>
    </row>
    <row r="323" spans="1:66" ht="12.75" customHeight="1">
      <c r="A323" s="39"/>
      <c r="B323" s="58" t="s">
        <v>94</v>
      </c>
      <c r="C323" s="58"/>
      <c r="D323" s="58"/>
      <c r="E323" s="58"/>
      <c r="F323" s="58"/>
      <c r="G323" s="58"/>
      <c r="H323" s="2034"/>
      <c r="I323" s="2034"/>
      <c r="J323" s="2034"/>
      <c r="K323" s="2034"/>
      <c r="L323" s="2034"/>
      <c r="M323" s="2034"/>
      <c r="N323" s="60"/>
      <c r="O323" s="60"/>
      <c r="P323" s="62"/>
      <c r="Q323" s="62"/>
      <c r="R323" s="62"/>
      <c r="S323" s="58"/>
      <c r="T323" s="58" t="s">
        <v>94</v>
      </c>
      <c r="V323" s="58"/>
      <c r="W323" s="58"/>
      <c r="X323" s="58"/>
      <c r="Y323" s="58"/>
      <c r="AA323" s="2034"/>
      <c r="AB323" s="2034"/>
      <c r="AC323" s="2034"/>
      <c r="AD323" s="2034"/>
      <c r="AE323" s="2034"/>
      <c r="AF323" s="2034"/>
      <c r="AG323" s="60"/>
      <c r="AH323" s="60"/>
      <c r="AI323" s="62"/>
      <c r="AJ323" s="62"/>
      <c r="AK323" s="62"/>
      <c r="AL323" s="39"/>
    </row>
    <row r="324" spans="1:66" ht="12.6">
      <c r="A324" s="39"/>
      <c r="B324" s="58" t="s">
        <v>80</v>
      </c>
      <c r="C324" s="58"/>
      <c r="D324" s="58"/>
      <c r="E324" s="58"/>
      <c r="F324" s="58"/>
      <c r="G324" s="58"/>
      <c r="H324" s="1993"/>
      <c r="I324" s="1993"/>
      <c r="J324" s="1993"/>
      <c r="K324" s="1993"/>
      <c r="L324" s="1993"/>
      <c r="M324" s="1993"/>
      <c r="N324" s="2013"/>
      <c r="O324" s="2013"/>
      <c r="P324" s="2013"/>
      <c r="Q324" s="2013"/>
      <c r="R324" s="2013"/>
      <c r="S324" s="58"/>
      <c r="T324" s="58" t="s">
        <v>80</v>
      </c>
      <c r="V324" s="58"/>
      <c r="W324" s="58"/>
      <c r="X324" s="58"/>
      <c r="Y324" s="58"/>
      <c r="AA324" s="1993" t="s">
        <v>2608</v>
      </c>
      <c r="AB324" s="1993"/>
      <c r="AC324" s="1993"/>
      <c r="AD324" s="1993"/>
      <c r="AE324" s="1993"/>
      <c r="AF324" s="1993"/>
      <c r="AG324" s="2013"/>
      <c r="AH324" s="2013"/>
      <c r="AI324" s="2013"/>
      <c r="AJ324" s="2013"/>
      <c r="AK324" s="2013"/>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2013" t="s">
        <v>2602</v>
      </c>
      <c r="I326" s="2013"/>
      <c r="J326" s="2013"/>
      <c r="K326" s="2013"/>
      <c r="L326" s="2013"/>
      <c r="M326" s="2013"/>
      <c r="N326" s="2013"/>
      <c r="O326" s="2013"/>
      <c r="P326" s="2013"/>
      <c r="Q326" s="2013"/>
      <c r="R326" s="2013"/>
      <c r="T326" s="58" t="s">
        <v>378</v>
      </c>
      <c r="V326" s="58"/>
      <c r="W326" s="58"/>
      <c r="X326" s="58"/>
      <c r="Y326" s="58"/>
      <c r="AA326" s="2013" t="s">
        <v>2602</v>
      </c>
      <c r="AB326" s="2013"/>
      <c r="AC326" s="2013"/>
      <c r="AD326" s="2013"/>
      <c r="AE326" s="2013"/>
      <c r="AF326" s="2013"/>
      <c r="AG326" s="2013"/>
      <c r="AH326" s="2013"/>
      <c r="AI326" s="2013"/>
      <c r="AJ326" s="2013"/>
      <c r="AK326" s="2013"/>
      <c r="AL326" s="39"/>
    </row>
    <row r="327" spans="1:66" ht="12.6">
      <c r="A327" s="39"/>
      <c r="B327" s="58" t="s">
        <v>504</v>
      </c>
      <c r="C327" s="58"/>
      <c r="D327" s="58"/>
      <c r="E327" s="58"/>
      <c r="F327" s="58"/>
      <c r="H327" s="1993"/>
      <c r="I327" s="1993"/>
      <c r="J327" s="1993"/>
      <c r="K327" s="1993"/>
      <c r="L327" s="1993"/>
      <c r="M327" s="1993"/>
      <c r="N327" s="1993"/>
      <c r="O327" s="1993"/>
      <c r="P327" s="1993"/>
      <c r="Q327" s="1993"/>
      <c r="R327" s="1993"/>
      <c r="T327" s="58" t="s">
        <v>504</v>
      </c>
      <c r="V327" s="58"/>
      <c r="W327" s="58"/>
      <c r="X327" s="58"/>
      <c r="Y327" s="58"/>
      <c r="AA327" s="1993"/>
      <c r="AB327" s="1993"/>
      <c r="AC327" s="1993"/>
      <c r="AD327" s="1993"/>
      <c r="AE327" s="1993"/>
      <c r="AF327" s="1993"/>
      <c r="AG327" s="1993"/>
      <c r="AH327" s="1993"/>
      <c r="AI327" s="1993"/>
      <c r="AJ327" s="1993"/>
      <c r="AK327" s="1993"/>
      <c r="AL327" s="39"/>
    </row>
    <row r="328" spans="1:66" ht="12.6">
      <c r="A328" s="39"/>
      <c r="B328" s="58" t="s">
        <v>505</v>
      </c>
      <c r="C328" s="58"/>
      <c r="D328" s="58"/>
      <c r="E328" s="58"/>
      <c r="F328" s="58"/>
      <c r="H328" s="1993"/>
      <c r="I328" s="1993"/>
      <c r="J328" s="1993"/>
      <c r="K328" s="1993"/>
      <c r="L328" s="1993"/>
      <c r="M328" s="1993"/>
      <c r="N328" s="1993"/>
      <c r="O328" s="1993"/>
      <c r="P328" s="1993"/>
      <c r="Q328" s="1993"/>
      <c r="R328" s="1993"/>
      <c r="T328" s="58" t="s">
        <v>79</v>
      </c>
      <c r="V328" s="58"/>
      <c r="W328" s="58"/>
      <c r="X328" s="58"/>
      <c r="Y328" s="58"/>
      <c r="AA328" s="1993"/>
      <c r="AB328" s="1993"/>
      <c r="AC328" s="1993"/>
      <c r="AD328" s="1993"/>
      <c r="AE328" s="1993"/>
      <c r="AF328" s="1993"/>
      <c r="AG328" s="1993"/>
      <c r="AH328" s="1993"/>
      <c r="AI328" s="1993"/>
      <c r="AJ328" s="1993"/>
      <c r="AK328" s="1993"/>
      <c r="AL328" s="39"/>
    </row>
    <row r="329" spans="1:66" ht="12.6">
      <c r="A329" s="39"/>
      <c r="B329" s="58" t="s">
        <v>92</v>
      </c>
      <c r="C329" s="58"/>
      <c r="D329" s="58"/>
      <c r="E329" s="58"/>
      <c r="F329" s="58"/>
      <c r="H329" s="1993"/>
      <c r="I329" s="1993"/>
      <c r="J329" s="1993"/>
      <c r="K329" s="1993"/>
      <c r="L329" s="1993"/>
      <c r="M329" s="1993"/>
      <c r="N329" s="1993"/>
      <c r="O329" s="1993"/>
      <c r="P329" s="1993"/>
      <c r="Q329" s="1993"/>
      <c r="R329" s="1993"/>
      <c r="T329" s="58" t="s">
        <v>92</v>
      </c>
      <c r="V329" s="58"/>
      <c r="W329" s="58"/>
      <c r="X329" s="58"/>
      <c r="Y329" s="58"/>
      <c r="AA329" s="1993"/>
      <c r="AB329" s="1993"/>
      <c r="AC329" s="1993"/>
      <c r="AD329" s="1993"/>
      <c r="AE329" s="1993"/>
      <c r="AF329" s="1993"/>
      <c r="AG329" s="1993"/>
      <c r="AH329" s="1993"/>
      <c r="AI329" s="1993"/>
      <c r="AJ329" s="1993"/>
      <c r="AK329" s="1993"/>
      <c r="AL329" s="39"/>
    </row>
    <row r="330" spans="1:66" ht="12.75" customHeight="1">
      <c r="A330" s="39"/>
      <c r="B330" s="58" t="s">
        <v>93</v>
      </c>
      <c r="C330" s="58"/>
      <c r="D330" s="58"/>
      <c r="E330" s="58"/>
      <c r="F330" s="58"/>
      <c r="G330" s="58"/>
      <c r="H330" s="2296"/>
      <c r="I330" s="2296"/>
      <c r="J330" s="2296"/>
      <c r="K330" s="2296"/>
      <c r="L330" s="2296"/>
      <c r="M330" s="2296"/>
      <c r="N330" s="7" t="s">
        <v>212</v>
      </c>
      <c r="O330" s="7"/>
      <c r="P330" s="2295"/>
      <c r="Q330" s="2295"/>
      <c r="R330" s="2295"/>
      <c r="S330" s="58"/>
      <c r="T330" s="58" t="s">
        <v>93</v>
      </c>
      <c r="V330" s="58"/>
      <c r="W330" s="58"/>
      <c r="X330" s="58"/>
      <c r="Y330" s="58"/>
      <c r="AA330" s="2296"/>
      <c r="AB330" s="2296"/>
      <c r="AC330" s="2296"/>
      <c r="AD330" s="2296"/>
      <c r="AE330" s="2296"/>
      <c r="AF330" s="2296"/>
      <c r="AG330" s="7" t="s">
        <v>212</v>
      </c>
      <c r="AH330" s="7"/>
      <c r="AI330" s="2295"/>
      <c r="AJ330" s="2295"/>
      <c r="AK330" s="2295"/>
      <c r="AL330" s="39"/>
    </row>
    <row r="331" spans="1:66" ht="12.6">
      <c r="A331" s="39"/>
      <c r="B331" s="58" t="s">
        <v>94</v>
      </c>
      <c r="C331" s="58"/>
      <c r="D331" s="58"/>
      <c r="E331" s="58"/>
      <c r="F331" s="58"/>
      <c r="G331" s="58"/>
      <c r="H331" s="2034"/>
      <c r="I331" s="2034"/>
      <c r="J331" s="2034"/>
      <c r="K331" s="2034"/>
      <c r="L331" s="2034"/>
      <c r="M331" s="2034"/>
      <c r="N331" s="60"/>
      <c r="O331" s="60"/>
      <c r="P331" s="62"/>
      <c r="Q331" s="62"/>
      <c r="R331" s="62"/>
      <c r="S331" s="58"/>
      <c r="T331" s="58" t="s">
        <v>94</v>
      </c>
      <c r="V331" s="58"/>
      <c r="W331" s="58"/>
      <c r="X331" s="58"/>
      <c r="Y331" s="58"/>
      <c r="AA331" s="2034"/>
      <c r="AB331" s="2034"/>
      <c r="AC331" s="2034"/>
      <c r="AD331" s="2034"/>
      <c r="AE331" s="2034"/>
      <c r="AF331" s="2034"/>
      <c r="AG331" s="60"/>
      <c r="AH331" s="60"/>
      <c r="AI331" s="62"/>
      <c r="AJ331" s="62"/>
      <c r="AK331" s="62"/>
      <c r="AL331" s="39"/>
    </row>
    <row r="332" spans="1:66" ht="12.6">
      <c r="A332" s="39"/>
      <c r="B332" s="58" t="s">
        <v>80</v>
      </c>
      <c r="C332" s="58"/>
      <c r="D332" s="58"/>
      <c r="E332" s="58"/>
      <c r="F332" s="58"/>
      <c r="G332" s="58"/>
      <c r="H332" s="1993"/>
      <c r="I332" s="1993"/>
      <c r="J332" s="1993"/>
      <c r="K332" s="1993"/>
      <c r="L332" s="1993"/>
      <c r="M332" s="1993"/>
      <c r="N332" s="2013"/>
      <c r="O332" s="2013"/>
      <c r="P332" s="2013"/>
      <c r="Q332" s="2013"/>
      <c r="R332" s="2013"/>
      <c r="S332" s="58"/>
      <c r="T332" s="58" t="s">
        <v>80</v>
      </c>
      <c r="V332" s="58"/>
      <c r="W332" s="58"/>
      <c r="X332" s="58"/>
      <c r="Y332" s="58"/>
      <c r="AA332" s="1993"/>
      <c r="AB332" s="1993"/>
      <c r="AC332" s="1993"/>
      <c r="AD332" s="1993"/>
      <c r="AE332" s="1993"/>
      <c r="AF332" s="1993"/>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3" t="s">
        <v>2609</v>
      </c>
      <c r="I334" s="2013"/>
      <c r="J334" s="2013"/>
      <c r="K334" s="2013"/>
      <c r="L334" s="2013"/>
      <c r="M334" s="2013"/>
      <c r="N334" s="2013"/>
      <c r="O334" s="2013"/>
      <c r="P334" s="2013"/>
      <c r="Q334" s="2013"/>
      <c r="R334" s="2013"/>
      <c r="T334" s="405" t="s">
        <v>952</v>
      </c>
      <c r="V334" s="58"/>
      <c r="W334" s="58"/>
      <c r="X334" s="58"/>
      <c r="Y334" s="58"/>
      <c r="AA334" s="2013" t="s">
        <v>2610</v>
      </c>
      <c r="AB334" s="2013"/>
      <c r="AC334" s="2013"/>
      <c r="AD334" s="2013"/>
      <c r="AE334" s="2013"/>
      <c r="AF334" s="2013"/>
      <c r="AG334" s="2013"/>
      <c r="AH334" s="2013"/>
      <c r="AI334" s="2013"/>
      <c r="AJ334" s="2013"/>
      <c r="AK334" s="2013"/>
      <c r="AL334" s="39"/>
    </row>
    <row r="335" spans="1:66" ht="12.75" customHeight="1">
      <c r="B335" s="58" t="s">
        <v>504</v>
      </c>
      <c r="C335" s="240"/>
      <c r="D335" s="240"/>
      <c r="E335" s="240"/>
      <c r="F335" s="240"/>
      <c r="G335" s="3"/>
      <c r="H335" s="1993" t="s">
        <v>2611</v>
      </c>
      <c r="I335" s="1993"/>
      <c r="J335" s="1993"/>
      <c r="K335" s="1993"/>
      <c r="L335" s="1993"/>
      <c r="M335" s="1993"/>
      <c r="N335" s="1993"/>
      <c r="O335" s="1993"/>
      <c r="P335" s="1993"/>
      <c r="Q335" s="1993"/>
      <c r="R335" s="1993"/>
      <c r="T335" s="58" t="s">
        <v>504</v>
      </c>
      <c r="V335" s="58"/>
      <c r="W335" s="58"/>
      <c r="X335" s="58"/>
      <c r="Y335" s="58"/>
      <c r="AA335" s="1993" t="s">
        <v>2612</v>
      </c>
      <c r="AB335" s="1993"/>
      <c r="AC335" s="1993"/>
      <c r="AD335" s="1993"/>
      <c r="AE335" s="1993"/>
      <c r="AF335" s="1993"/>
      <c r="AG335" s="1993"/>
      <c r="AH335" s="1993"/>
      <c r="AI335" s="1993"/>
      <c r="AJ335" s="1993"/>
      <c r="AK335" s="1993"/>
      <c r="AL335" s="39"/>
    </row>
    <row r="336" spans="1:66" ht="12.75" customHeight="1">
      <c r="B336" s="58" t="s">
        <v>79</v>
      </c>
      <c r="C336" s="240"/>
      <c r="D336" s="240"/>
      <c r="E336" s="240"/>
      <c r="F336" s="240"/>
      <c r="G336" s="3"/>
      <c r="H336" s="1993" t="s">
        <v>2613</v>
      </c>
      <c r="I336" s="1993"/>
      <c r="J336" s="1993"/>
      <c r="K336" s="1993"/>
      <c r="L336" s="1993"/>
      <c r="M336" s="1993"/>
      <c r="N336" s="1993"/>
      <c r="O336" s="1993"/>
      <c r="P336" s="1993"/>
      <c r="Q336" s="1993"/>
      <c r="R336" s="1993"/>
      <c r="T336" s="58" t="s">
        <v>79</v>
      </c>
      <c r="V336" s="58"/>
      <c r="W336" s="58"/>
      <c r="X336" s="58"/>
      <c r="Y336" s="58"/>
      <c r="AA336" s="1993" t="s">
        <v>2614</v>
      </c>
      <c r="AB336" s="1993"/>
      <c r="AC336" s="1993"/>
      <c r="AD336" s="1993"/>
      <c r="AE336" s="1993"/>
      <c r="AF336" s="1993"/>
      <c r="AG336" s="1993"/>
      <c r="AH336" s="1993"/>
      <c r="AI336" s="1993"/>
      <c r="AJ336" s="1993"/>
      <c r="AK336" s="1993"/>
      <c r="AL336" s="39"/>
    </row>
    <row r="337" spans="1:66" ht="12.75" customHeight="1">
      <c r="A337" s="39"/>
      <c r="B337" s="58" t="s">
        <v>92</v>
      </c>
      <c r="C337" s="240"/>
      <c r="D337" s="240"/>
      <c r="E337" s="240"/>
      <c r="F337" s="240"/>
      <c r="G337" s="240"/>
      <c r="H337" s="1993" t="s">
        <v>2615</v>
      </c>
      <c r="I337" s="1993"/>
      <c r="J337" s="1993"/>
      <c r="K337" s="1993"/>
      <c r="L337" s="1993"/>
      <c r="M337" s="1993"/>
      <c r="N337" s="1993"/>
      <c r="O337" s="1993"/>
      <c r="P337" s="1993"/>
      <c r="Q337" s="1993"/>
      <c r="R337" s="1993"/>
      <c r="T337" s="58" t="s">
        <v>92</v>
      </c>
      <c r="V337" s="58"/>
      <c r="W337" s="58"/>
      <c r="X337" s="58"/>
      <c r="Y337" s="58"/>
      <c r="AA337" s="1993" t="s">
        <v>2616</v>
      </c>
      <c r="AB337" s="1993"/>
      <c r="AC337" s="1993"/>
      <c r="AD337" s="1993"/>
      <c r="AE337" s="1993"/>
      <c r="AF337" s="1993"/>
      <c r="AG337" s="1993"/>
      <c r="AH337" s="1993"/>
      <c r="AI337" s="1993"/>
      <c r="AJ337" s="1993"/>
      <c r="AK337" s="1993"/>
      <c r="AL337" s="39"/>
    </row>
    <row r="338" spans="1:66" ht="12.75" customHeight="1">
      <c r="A338" s="39"/>
      <c r="B338" s="58" t="s">
        <v>93</v>
      </c>
      <c r="C338" s="240"/>
      <c r="D338" s="240"/>
      <c r="E338" s="240"/>
      <c r="F338" s="240"/>
      <c r="G338" s="240"/>
      <c r="H338" s="2302" t="s">
        <v>2617</v>
      </c>
      <c r="I338" s="2296"/>
      <c r="J338" s="2296"/>
      <c r="K338" s="2296"/>
      <c r="L338" s="2296"/>
      <c r="M338" s="2296"/>
      <c r="N338" s="7" t="s">
        <v>212</v>
      </c>
      <c r="O338" s="7"/>
      <c r="P338" s="2295"/>
      <c r="Q338" s="2295"/>
      <c r="R338" s="2295"/>
      <c r="S338" s="58"/>
      <c r="T338" s="58" t="s">
        <v>93</v>
      </c>
      <c r="V338" s="58"/>
      <c r="W338" s="58"/>
      <c r="X338" s="58"/>
      <c r="Y338" s="58"/>
      <c r="AA338" s="2302" t="s">
        <v>2618</v>
      </c>
      <c r="AB338" s="2296"/>
      <c r="AC338" s="2296"/>
      <c r="AD338" s="2296"/>
      <c r="AE338" s="2296"/>
      <c r="AF338" s="2296"/>
      <c r="AG338" s="7" t="s">
        <v>212</v>
      </c>
      <c r="AH338" s="7"/>
      <c r="AI338" s="2295"/>
      <c r="AJ338" s="2295"/>
      <c r="AK338" s="2295"/>
      <c r="AL338" s="39"/>
    </row>
    <row r="339" spans="1:66" ht="12.6">
      <c r="A339" s="39"/>
      <c r="B339" s="58" t="s">
        <v>94</v>
      </c>
      <c r="C339" s="240"/>
      <c r="D339" s="240"/>
      <c r="E339" s="240"/>
      <c r="F339" s="240"/>
      <c r="G339" s="240"/>
      <c r="H339" s="2262" t="s">
        <v>2619</v>
      </c>
      <c r="I339" s="2034"/>
      <c r="J339" s="2034"/>
      <c r="K339" s="2034"/>
      <c r="L339" s="2034"/>
      <c r="M339" s="2034"/>
      <c r="N339" s="60"/>
      <c r="O339" s="60"/>
      <c r="P339" s="62"/>
      <c r="Q339" s="62"/>
      <c r="R339" s="62"/>
      <c r="S339" s="58"/>
      <c r="T339" s="58" t="s">
        <v>94</v>
      </c>
      <c r="V339" s="58"/>
      <c r="W339" s="58"/>
      <c r="X339" s="58"/>
      <c r="Y339" s="58"/>
      <c r="AA339" s="2262" t="s">
        <v>2620</v>
      </c>
      <c r="AB339" s="2034"/>
      <c r="AC339" s="2034"/>
      <c r="AD339" s="2034"/>
      <c r="AE339" s="2034"/>
      <c r="AF339" s="2034"/>
      <c r="AG339" s="60"/>
      <c r="AH339" s="60"/>
      <c r="AI339" s="62"/>
      <c r="AJ339" s="62"/>
      <c r="AK339" s="62"/>
      <c r="AL339" s="39"/>
    </row>
    <row r="340" spans="1:66" ht="12.6">
      <c r="A340" s="39"/>
      <c r="B340" s="58" t="s">
        <v>80</v>
      </c>
      <c r="C340" s="237"/>
      <c r="D340" s="237"/>
      <c r="E340" s="237"/>
      <c r="F340" s="237"/>
      <c r="G340" s="237"/>
      <c r="H340" s="1993" t="s">
        <v>2621</v>
      </c>
      <c r="I340" s="1993"/>
      <c r="J340" s="1993"/>
      <c r="K340" s="1993"/>
      <c r="L340" s="1993"/>
      <c r="M340" s="1993"/>
      <c r="N340" s="2013"/>
      <c r="O340" s="2013"/>
      <c r="P340" s="2013"/>
      <c r="Q340" s="2013"/>
      <c r="R340" s="2013"/>
      <c r="S340" s="58"/>
      <c r="T340" s="58" t="s">
        <v>80</v>
      </c>
      <c r="V340" s="58"/>
      <c r="W340" s="58"/>
      <c r="X340" s="58"/>
      <c r="Y340" s="58"/>
      <c r="AA340" s="1993" t="s">
        <v>2622</v>
      </c>
      <c r="AB340" s="1993"/>
      <c r="AC340" s="1993"/>
      <c r="AD340" s="1993"/>
      <c r="AE340" s="1993"/>
      <c r="AF340" s="1993"/>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953</v>
      </c>
      <c r="P342" s="2013" t="s">
        <v>2602</v>
      </c>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626</v>
      </c>
    </row>
    <row r="343" spans="1:66" ht="12.6">
      <c r="A343" s="3"/>
      <c r="B343" s="60"/>
      <c r="C343" s="60"/>
      <c r="D343" s="60"/>
      <c r="E343" s="60"/>
      <c r="F343" s="60"/>
      <c r="G343" s="3"/>
      <c r="H343" s="88"/>
      <c r="I343" s="7" t="s">
        <v>504</v>
      </c>
      <c r="P343" s="1993"/>
      <c r="Q343" s="1993"/>
      <c r="R343" s="1993"/>
      <c r="S343" s="1993"/>
      <c r="T343" s="1993"/>
      <c r="U343" s="1993"/>
      <c r="V343" s="1993"/>
      <c r="W343" s="1993"/>
      <c r="X343" s="1993"/>
      <c r="Y343" s="1993"/>
      <c r="Z343" s="1993"/>
      <c r="AA343" s="1993"/>
      <c r="AB343" s="1993"/>
      <c r="AC343" s="1993"/>
      <c r="AD343" s="1993"/>
      <c r="AE343" s="1993"/>
      <c r="AF343" s="88"/>
      <c r="AG343" s="88"/>
      <c r="AH343" s="88"/>
      <c r="AI343" s="88"/>
      <c r="AJ343" s="88"/>
      <c r="AK343" s="88"/>
      <c r="AL343" s="39"/>
      <c r="BN343" s="12" t="s">
        <v>706</v>
      </c>
    </row>
    <row r="344" spans="1:66" ht="12.6">
      <c r="A344" s="3"/>
      <c r="B344" s="60"/>
      <c r="C344" s="60"/>
      <c r="D344" s="60"/>
      <c r="E344" s="60"/>
      <c r="F344" s="60"/>
      <c r="G344" s="3"/>
      <c r="H344" s="88"/>
      <c r="I344" s="7" t="s">
        <v>79</v>
      </c>
      <c r="P344" s="1993"/>
      <c r="Q344" s="1993"/>
      <c r="R344" s="1993"/>
      <c r="S344" s="1993"/>
      <c r="T344" s="1993"/>
      <c r="U344" s="1993"/>
      <c r="V344" s="1993"/>
      <c r="W344" s="1993"/>
      <c r="X344" s="1993"/>
      <c r="Y344" s="1993"/>
      <c r="Z344" s="1993"/>
      <c r="AA344" s="1993"/>
      <c r="AB344" s="1993"/>
      <c r="AC344" s="1993"/>
      <c r="AD344" s="1993"/>
      <c r="AE344" s="1993"/>
      <c r="AF344" s="88"/>
      <c r="AG344" s="88"/>
      <c r="AH344" s="88"/>
      <c r="AI344" s="88"/>
      <c r="AJ344" s="88"/>
      <c r="AK344" s="88"/>
      <c r="AL344" s="39"/>
      <c r="BN344" s="12" t="s">
        <v>578</v>
      </c>
    </row>
    <row r="345" spans="1:66" ht="12.6">
      <c r="A345" s="3"/>
      <c r="B345" s="60"/>
      <c r="C345" s="60"/>
      <c r="D345" s="60"/>
      <c r="E345" s="60"/>
      <c r="F345" s="60"/>
      <c r="G345" s="60"/>
      <c r="H345" s="88"/>
      <c r="I345" s="7" t="s">
        <v>92</v>
      </c>
      <c r="P345" s="1993"/>
      <c r="Q345" s="1993"/>
      <c r="R345" s="1993"/>
      <c r="S345" s="1993"/>
      <c r="T345" s="1993"/>
      <c r="U345" s="1993"/>
      <c r="V345" s="1993"/>
      <c r="W345" s="1993"/>
      <c r="X345" s="1993"/>
      <c r="Y345" s="1993"/>
      <c r="Z345" s="1993"/>
      <c r="AA345" s="1993"/>
      <c r="AB345" s="1993"/>
      <c r="AC345" s="1993"/>
      <c r="AD345" s="1993"/>
      <c r="AE345" s="1993"/>
      <c r="AF345" s="88"/>
      <c r="AG345" s="88"/>
      <c r="AH345" s="88"/>
      <c r="AI345" s="88"/>
      <c r="AJ345" s="88"/>
      <c r="AK345" s="88"/>
      <c r="AL345" s="39"/>
    </row>
    <row r="346" spans="1:66" ht="12.6">
      <c r="A346" s="3"/>
      <c r="B346" s="60"/>
      <c r="C346" s="60"/>
      <c r="D346" s="60"/>
      <c r="E346" s="60"/>
      <c r="F346" s="60"/>
      <c r="G346" s="60"/>
      <c r="H346" s="465"/>
      <c r="I346" s="7" t="s">
        <v>93</v>
      </c>
      <c r="P346" s="2034"/>
      <c r="Q346" s="2034"/>
      <c r="R346" s="2034"/>
      <c r="S346" s="2034"/>
      <c r="T346" s="2034"/>
      <c r="U346" s="2034"/>
      <c r="V346" s="2034"/>
      <c r="W346" s="2034"/>
      <c r="X346" s="2034"/>
      <c r="Y346" s="2034"/>
      <c r="Z346" s="2034"/>
      <c r="AA346" s="7" t="s">
        <v>212</v>
      </c>
      <c r="AB346" s="7"/>
      <c r="AC346" s="1992"/>
      <c r="AD346" s="1992"/>
      <c r="AE346" s="1992"/>
      <c r="AF346" s="465"/>
      <c r="AG346" s="60"/>
      <c r="AH346" s="60"/>
      <c r="AI346" s="406"/>
      <c r="AJ346" s="406"/>
      <c r="AK346" s="406"/>
      <c r="AL346" s="39"/>
    </row>
    <row r="347" spans="1:66" ht="12.75" customHeight="1">
      <c r="A347" s="3"/>
      <c r="B347" s="60"/>
      <c r="C347" s="60"/>
      <c r="D347" s="60"/>
      <c r="E347" s="60"/>
      <c r="F347" s="60"/>
      <c r="G347" s="60"/>
      <c r="H347" s="465"/>
      <c r="I347" s="7" t="s">
        <v>94</v>
      </c>
      <c r="P347" s="2034"/>
      <c r="Q347" s="2034"/>
      <c r="R347" s="2034"/>
      <c r="S347" s="2034"/>
      <c r="T347" s="2034"/>
      <c r="U347" s="2034"/>
      <c r="V347" s="2034"/>
      <c r="W347" s="2034"/>
      <c r="X347" s="2034"/>
      <c r="Y347" s="2034"/>
      <c r="Z347" s="2034"/>
      <c r="AF347" s="465"/>
      <c r="AG347" s="60"/>
      <c r="AH347" s="60"/>
      <c r="AI347" s="62"/>
      <c r="AJ347" s="62"/>
      <c r="AK347" s="62"/>
      <c r="AL347" s="39"/>
    </row>
    <row r="348" spans="1:66" ht="12.6">
      <c r="A348" s="3"/>
      <c r="B348" s="60"/>
      <c r="C348" s="406"/>
      <c r="D348" s="406"/>
      <c r="E348" s="406"/>
      <c r="F348" s="406"/>
      <c r="G348" s="406"/>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337" t="s">
        <v>575</v>
      </c>
      <c r="B350" s="2337"/>
      <c r="C350" s="2337"/>
      <c r="D350" s="2337"/>
      <c r="E350" s="2337"/>
      <c r="F350" s="2337"/>
      <c r="G350" s="2337"/>
      <c r="H350" s="2337"/>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7"/>
      <c r="AD350" s="2337"/>
      <c r="AE350" s="2337"/>
      <c r="AF350" s="2337"/>
      <c r="AG350" s="2337"/>
      <c r="AH350" s="2337"/>
      <c r="AI350" s="2337"/>
      <c r="AJ350" s="2337"/>
      <c r="AK350" s="2337"/>
      <c r="AL350" s="2337"/>
      <c r="AM350" s="144"/>
      <c r="AN350" s="144"/>
      <c r="AO350" s="144"/>
      <c r="AP350" s="144"/>
      <c r="AQ350" s="144"/>
      <c r="AR350" s="144"/>
      <c r="AS350" s="144"/>
      <c r="AT350" s="144"/>
      <c r="AU350" s="144"/>
      <c r="AV350" s="144"/>
      <c r="AW350" s="144"/>
      <c r="AX350" s="144"/>
      <c r="AY350" s="144"/>
    </row>
    <row r="351" spans="1:66" ht="13.6" thickBot="1">
      <c r="A351" s="2338"/>
      <c r="B351" s="2338"/>
      <c r="C351" s="2338"/>
      <c r="D351" s="2338"/>
      <c r="E351" s="2338"/>
      <c r="F351" s="2338"/>
      <c r="G351" s="2338"/>
      <c r="H351" s="2338"/>
      <c r="I351" s="2338"/>
      <c r="J351" s="2338"/>
      <c r="K351" s="2338"/>
      <c r="L351" s="2338"/>
      <c r="M351" s="2338"/>
      <c r="N351" s="2338"/>
      <c r="O351" s="2338"/>
      <c r="P351" s="2338"/>
      <c r="Q351" s="2338"/>
      <c r="R351" s="2338"/>
      <c r="S351" s="2338"/>
      <c r="T351" s="2338"/>
      <c r="U351" s="2338"/>
      <c r="V351" s="2338"/>
      <c r="W351" s="2338"/>
      <c r="X351" s="2338"/>
      <c r="Y351" s="2338"/>
      <c r="Z351" s="2338"/>
      <c r="AA351" s="2338"/>
      <c r="AB351" s="2338"/>
      <c r="AC351" s="2338"/>
      <c r="AD351" s="2338"/>
      <c r="AE351" s="2338"/>
      <c r="AF351" s="2338"/>
      <c r="AG351" s="2338"/>
      <c r="AH351" s="2338"/>
      <c r="AI351" s="2338"/>
      <c r="AJ351" s="2338"/>
      <c r="AK351" s="2338"/>
      <c r="AL351" s="2338"/>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1" t="s">
        <v>578</v>
      </c>
      <c r="N354" s="1991"/>
      <c r="P354" s="12" t="s">
        <v>1954</v>
      </c>
      <c r="AJ354" s="1991" t="s">
        <v>706</v>
      </c>
      <c r="AK354" s="1991"/>
    </row>
    <row r="355" spans="1:37" ht="12.75" customHeight="1">
      <c r="D355" s="58" t="s">
        <v>1943</v>
      </c>
      <c r="M355" s="1991" t="s">
        <v>626</v>
      </c>
      <c r="N355" s="1991"/>
      <c r="P355" s="58" t="s">
        <v>2146</v>
      </c>
      <c r="AJ355" s="2000" t="s">
        <v>626</v>
      </c>
      <c r="AK355" s="2000"/>
    </row>
    <row r="356" spans="1:37" ht="12.75" customHeight="1">
      <c r="D356" s="12" t="s">
        <v>745</v>
      </c>
      <c r="M356" s="1991" t="s">
        <v>626</v>
      </c>
      <c r="N356" s="1991"/>
      <c r="P356" s="717" t="s">
        <v>1953</v>
      </c>
      <c r="AJ356" s="1991" t="s">
        <v>626</v>
      </c>
      <c r="AK356" s="1991"/>
    </row>
    <row r="357" spans="1:37" ht="12.75" customHeight="1">
      <c r="D357" s="12" t="s">
        <v>746</v>
      </c>
      <c r="M357" s="1991" t="s">
        <v>626</v>
      </c>
      <c r="N357" s="199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1" t="s">
        <v>626</v>
      </c>
      <c r="O362" s="1991"/>
      <c r="P362" s="69"/>
      <c r="Q362" s="69"/>
      <c r="R362" s="69"/>
      <c r="S362" s="69"/>
      <c r="T362" s="69"/>
      <c r="U362" s="69"/>
      <c r="V362" s="69"/>
      <c r="W362" s="69"/>
      <c r="X362" s="69"/>
      <c r="Y362" s="70"/>
      <c r="Z362" s="70"/>
      <c r="AC362" s="69"/>
      <c r="AD362" s="69"/>
      <c r="AE362" s="69"/>
    </row>
    <row r="363" spans="1:37" ht="12.75" customHeight="1">
      <c r="E363" s="12" t="s">
        <v>381</v>
      </c>
      <c r="Y363" s="1991" t="s">
        <v>626</v>
      </c>
      <c r="Z363" s="1991"/>
    </row>
    <row r="364" spans="1:37" ht="12.75" customHeight="1">
      <c r="D364" s="7" t="s">
        <v>1058</v>
      </c>
      <c r="Q364" s="2013" t="s">
        <v>626</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1" t="s">
        <v>626</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5" t="s">
        <v>747</v>
      </c>
      <c r="F367" s="2305"/>
      <c r="G367" s="2305"/>
      <c r="H367" s="2305"/>
      <c r="I367" s="2305"/>
      <c r="J367" s="2305"/>
      <c r="K367" s="2305"/>
      <c r="L367" s="2305"/>
      <c r="M367" s="2305"/>
      <c r="N367" s="2305"/>
      <c r="O367" s="2305"/>
      <c r="P367" s="2305"/>
      <c r="Q367" s="2305"/>
      <c r="R367" s="2305"/>
      <c r="S367" s="2305"/>
      <c r="T367" s="2305"/>
      <c r="U367" s="2305"/>
      <c r="V367" s="2305"/>
      <c r="W367" s="2305"/>
      <c r="X367" s="2305"/>
      <c r="Y367" s="2305"/>
      <c r="Z367" s="2305"/>
      <c r="AA367" s="2305"/>
      <c r="AB367" s="2305"/>
      <c r="AC367" s="2305"/>
      <c r="AD367" s="2305"/>
      <c r="AE367" s="2305"/>
      <c r="AF367" s="2305"/>
      <c r="AG367" s="2305"/>
      <c r="AH367" s="2305"/>
    </row>
    <row r="368" spans="1:37" ht="12.75" customHeight="1">
      <c r="E368" s="2305"/>
      <c r="F368" s="2305"/>
      <c r="G368" s="2305"/>
      <c r="H368" s="2305"/>
      <c r="I368" s="2305"/>
      <c r="J368" s="2305"/>
      <c r="K368" s="2305"/>
      <c r="L368" s="2305"/>
      <c r="M368" s="2305"/>
      <c r="N368" s="2305"/>
      <c r="O368" s="2305"/>
      <c r="P368" s="2305"/>
      <c r="Q368" s="2305"/>
      <c r="R368" s="2305"/>
      <c r="S368" s="2305"/>
      <c r="T368" s="2305"/>
      <c r="U368" s="2305"/>
      <c r="V368" s="2305"/>
      <c r="W368" s="2305"/>
      <c r="X368" s="2305"/>
      <c r="Y368" s="2305"/>
      <c r="Z368" s="2305"/>
      <c r="AA368" s="2305"/>
      <c r="AB368" s="2305"/>
      <c r="AC368" s="2305"/>
      <c r="AD368" s="2305"/>
      <c r="AE368" s="2305"/>
      <c r="AF368" s="2305"/>
      <c r="AG368" s="2305"/>
      <c r="AH368" s="2305"/>
    </row>
    <row r="369" spans="1:36" ht="12.75" customHeight="1">
      <c r="E369" s="7" t="s">
        <v>479</v>
      </c>
      <c r="F369" s="7"/>
      <c r="G369" s="7"/>
      <c r="H369" s="7"/>
      <c r="I369" s="7"/>
      <c r="J369" s="7"/>
      <c r="K369" s="7"/>
      <c r="L369" s="7"/>
      <c r="N369" s="2301"/>
      <c r="O369" s="2301"/>
      <c r="P369" s="2301"/>
      <c r="Q369" s="2301"/>
      <c r="R369" s="7"/>
      <c r="U369" s="7" t="s">
        <v>480</v>
      </c>
      <c r="V369" s="7"/>
      <c r="W369" s="7"/>
      <c r="X369" s="7"/>
      <c r="Y369" s="7"/>
      <c r="Z369" s="7"/>
      <c r="AA369" s="7"/>
      <c r="AB369" s="7"/>
      <c r="AC369" s="2301"/>
      <c r="AD369" s="2301"/>
      <c r="AE369" s="2301"/>
      <c r="AF369" s="2301"/>
    </row>
    <row r="370" spans="1:36" ht="12.75" customHeight="1">
      <c r="E370" s="7" t="s">
        <v>481</v>
      </c>
      <c r="F370" s="7"/>
      <c r="G370" s="7"/>
      <c r="H370" s="7"/>
      <c r="I370" s="7"/>
      <c r="J370" s="7"/>
      <c r="K370" s="7"/>
      <c r="L370" s="7"/>
      <c r="N370" s="2301"/>
      <c r="O370" s="2301"/>
      <c r="P370" s="2301"/>
      <c r="Q370" s="2301"/>
      <c r="R370" s="7"/>
      <c r="U370" s="7" t="s">
        <v>0</v>
      </c>
      <c r="V370" s="7"/>
      <c r="W370" s="7"/>
      <c r="X370" s="7"/>
      <c r="Y370" s="7"/>
      <c r="Z370" s="7"/>
      <c r="AA370" s="7"/>
      <c r="AB370" s="7"/>
      <c r="AC370" s="2301"/>
      <c r="AD370" s="2301"/>
      <c r="AE370" s="2301"/>
      <c r="AF370" s="2301"/>
    </row>
    <row r="371" spans="1:36" ht="12.75" customHeight="1">
      <c r="E371" s="7" t="s">
        <v>1</v>
      </c>
      <c r="F371" s="7"/>
      <c r="G371" s="7"/>
      <c r="H371" s="7"/>
      <c r="I371" s="7"/>
      <c r="J371" s="7"/>
      <c r="K371" s="7"/>
      <c r="L371" s="7"/>
      <c r="N371" s="2301"/>
      <c r="O371" s="2301"/>
      <c r="P371" s="2301"/>
      <c r="Q371" s="2301"/>
      <c r="R371" s="7"/>
      <c r="V371" s="7"/>
      <c r="W371" s="7"/>
      <c r="X371" s="7"/>
      <c r="Y371" s="7"/>
      <c r="Z371" s="7"/>
      <c r="AA371" s="7"/>
      <c r="AB371" s="7"/>
    </row>
    <row r="372" spans="1:36" ht="12.75" customHeight="1">
      <c r="E372" s="7" t="s">
        <v>2</v>
      </c>
      <c r="F372" s="7"/>
      <c r="G372" s="7"/>
      <c r="H372" s="7"/>
      <c r="I372" s="7"/>
      <c r="J372" s="7"/>
      <c r="K372" s="7"/>
      <c r="L372" s="7"/>
      <c r="N372" s="2512"/>
      <c r="O372" s="2512"/>
      <c r="P372" s="2512"/>
      <c r="Q372" s="2512"/>
      <c r="R372" s="2512"/>
      <c r="S372" s="2512"/>
      <c r="T372" s="2512"/>
      <c r="U372" s="2512"/>
      <c r="V372" s="2512"/>
      <c r="W372" s="2512"/>
      <c r="X372" s="2512"/>
      <c r="Y372" s="2512"/>
      <c r="Z372" s="2512"/>
      <c r="AA372" s="2512"/>
      <c r="AB372" s="2512"/>
      <c r="AC372" s="2512"/>
      <c r="AD372" s="2512"/>
      <c r="AE372" s="2512"/>
      <c r="AF372" s="2512"/>
    </row>
    <row r="373" spans="1:36" ht="12.75" customHeight="1">
      <c r="E373" s="7"/>
      <c r="F373" s="7"/>
      <c r="G373" s="7"/>
      <c r="H373" s="7"/>
      <c r="I373" s="7"/>
      <c r="J373" s="7"/>
      <c r="K373" s="7"/>
      <c r="L373" s="7"/>
      <c r="N373" s="2513"/>
      <c r="O373" s="2513"/>
      <c r="P373" s="2513"/>
      <c r="Q373" s="2513"/>
      <c r="R373" s="2513"/>
      <c r="S373" s="2513"/>
      <c r="T373" s="2513"/>
      <c r="U373" s="2513"/>
      <c r="V373" s="2513"/>
      <c r="W373" s="2513"/>
      <c r="X373" s="2513"/>
      <c r="Y373" s="2513"/>
      <c r="Z373" s="2513"/>
      <c r="AA373" s="2513"/>
      <c r="AB373" s="2513"/>
      <c r="AC373" s="2513"/>
      <c r="AD373" s="2513"/>
      <c r="AE373" s="2513"/>
      <c r="AF373" s="2513"/>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86"/>
      <c r="T376" s="2386"/>
      <c r="U376" s="4" t="s">
        <v>315</v>
      </c>
      <c r="V376" s="2386"/>
      <c r="W376" s="2386"/>
      <c r="Y376" s="25" t="s">
        <v>313</v>
      </c>
      <c r="AA376" s="25"/>
      <c r="AB376" s="25" t="s">
        <v>314</v>
      </c>
      <c r="AD376" s="2386"/>
      <c r="AE376" s="2386"/>
      <c r="AF376" s="4" t="s">
        <v>315</v>
      </c>
      <c r="AG376" s="2386"/>
      <c r="AH376" s="2386"/>
    </row>
    <row r="377" spans="1:36" ht="12.75" customHeight="1">
      <c r="E377" s="7" t="s">
        <v>1086</v>
      </c>
      <c r="F377" s="7"/>
      <c r="G377" s="7"/>
      <c r="H377" s="7"/>
      <c r="I377" s="7"/>
      <c r="J377" s="7"/>
      <c r="K377" s="7"/>
      <c r="L377" s="7"/>
      <c r="N377" s="2386"/>
      <c r="O377" s="2386"/>
      <c r="P377" s="2386"/>
    </row>
    <row r="378" spans="1:36" ht="12.75" customHeight="1">
      <c r="E378" s="382" t="s">
        <v>1087</v>
      </c>
      <c r="F378" s="7"/>
      <c r="G378" s="7"/>
      <c r="H378" s="7"/>
      <c r="I378" s="7"/>
      <c r="J378" s="7"/>
      <c r="K378" s="7"/>
      <c r="L378" s="7"/>
      <c r="AG378" s="2300" t="s">
        <v>626</v>
      </c>
      <c r="AH378" s="2300"/>
    </row>
    <row r="379" spans="1:36" ht="12.75" customHeight="1">
      <c r="E379" s="7"/>
      <c r="F379" s="7"/>
      <c r="G379" s="7" t="s">
        <v>1108</v>
      </c>
      <c r="H379" s="7"/>
      <c r="I379" s="7"/>
      <c r="J379" s="7"/>
      <c r="K379" s="7"/>
      <c r="L379" s="7"/>
      <c r="AG379" s="2300" t="s">
        <v>626</v>
      </c>
      <c r="AH379" s="2300"/>
    </row>
    <row r="380" spans="1:36" ht="12.75" customHeight="1">
      <c r="E380" s="7"/>
      <c r="F380" s="7"/>
      <c r="G380" s="507" t="s">
        <v>1088</v>
      </c>
      <c r="H380" s="7"/>
      <c r="I380" s="7"/>
      <c r="J380" s="7"/>
      <c r="K380" s="7"/>
      <c r="L380" s="7"/>
      <c r="V380" s="1991" t="s">
        <v>626</v>
      </c>
      <c r="W380" s="1991"/>
      <c r="Y380" s="35" t="s">
        <v>1060</v>
      </c>
    </row>
    <row r="381" spans="1:36" ht="12.75" customHeight="1">
      <c r="E381" s="7" t="s">
        <v>1061</v>
      </c>
      <c r="F381" s="7"/>
      <c r="G381" s="7"/>
      <c r="H381" s="7"/>
      <c r="I381" s="7"/>
      <c r="J381" s="7"/>
      <c r="K381" s="7"/>
      <c r="L381" s="7"/>
      <c r="V381" s="1991" t="s">
        <v>626</v>
      </c>
      <c r="W381" s="1991"/>
      <c r="Y381" s="7" t="s">
        <v>1062</v>
      </c>
    </row>
    <row r="382" spans="1:36" ht="12.75" customHeight="1"/>
    <row r="383" spans="1:36" ht="12.75" customHeight="1">
      <c r="A383" s="50" t="s">
        <v>82</v>
      </c>
      <c r="B383" s="50"/>
    </row>
    <row r="384" spans="1:36" ht="12.75" customHeight="1">
      <c r="D384" s="12" t="s">
        <v>449</v>
      </c>
      <c r="J384" s="2013" t="s">
        <v>2561</v>
      </c>
      <c r="K384" s="2013"/>
      <c r="L384" s="2013"/>
      <c r="M384" s="2013"/>
      <c r="N384" s="2013"/>
      <c r="O384" s="2013"/>
      <c r="P384" s="2013"/>
      <c r="Q384" s="2013"/>
      <c r="R384" s="2013"/>
      <c r="S384" s="2013"/>
      <c r="T384" s="2013"/>
      <c r="U384" s="2013"/>
      <c r="V384" s="14" t="s">
        <v>88</v>
      </c>
      <c r="W384" s="14"/>
      <c r="X384" s="14"/>
      <c r="Y384" s="14"/>
      <c r="Z384" s="14"/>
      <c r="AA384" s="14"/>
      <c r="AB384" s="14"/>
      <c r="AC384" s="2013" t="s">
        <v>2539</v>
      </c>
      <c r="AD384" s="2013"/>
      <c r="AE384" s="2013"/>
      <c r="AF384" s="2013"/>
      <c r="AG384" s="2013"/>
      <c r="AH384" s="2013"/>
      <c r="AI384" s="2013"/>
      <c r="AJ384" s="2013"/>
    </row>
    <row r="385" spans="1:96" ht="12.75" customHeight="1">
      <c r="A385" s="717"/>
      <c r="B385" s="717"/>
      <c r="C385" s="717"/>
      <c r="D385" s="58" t="s">
        <v>1378</v>
      </c>
      <c r="E385" s="717"/>
      <c r="F385" s="717"/>
      <c r="G385" s="717"/>
      <c r="H385" s="717"/>
      <c r="I385" s="717"/>
      <c r="J385" s="1993" t="s">
        <v>2539</v>
      </c>
      <c r="K385" s="1993"/>
      <c r="L385" s="1993"/>
      <c r="M385" s="1993"/>
      <c r="N385" s="1993"/>
      <c r="O385" s="1993"/>
      <c r="P385" s="1993"/>
      <c r="Q385" s="1993"/>
      <c r="R385" s="1993"/>
      <c r="S385" s="1993"/>
      <c r="T385" s="1993"/>
      <c r="U385" s="1993"/>
      <c r="V385" s="58" t="s">
        <v>1378</v>
      </c>
      <c r="W385" s="14"/>
      <c r="X385" s="14"/>
      <c r="Y385" s="14"/>
      <c r="Z385" s="14"/>
      <c r="AA385" s="14"/>
      <c r="AB385" s="14"/>
      <c r="AC385" s="2013"/>
      <c r="AD385" s="2013"/>
      <c r="AE385" s="2013"/>
      <c r="AF385" s="2013"/>
      <c r="AG385" s="2013"/>
      <c r="AH385" s="2013"/>
      <c r="AI385" s="2013"/>
      <c r="AJ385" s="2013"/>
      <c r="AK385" s="717"/>
      <c r="AL385" s="717"/>
    </row>
    <row r="386" spans="1:96" ht="12.75" customHeight="1">
      <c r="A386" s="717"/>
      <c r="B386" s="717"/>
      <c r="C386" s="717"/>
      <c r="D386" s="58" t="s">
        <v>464</v>
      </c>
      <c r="E386" s="717"/>
      <c r="F386" s="717"/>
      <c r="G386" s="717"/>
      <c r="H386" s="717"/>
      <c r="I386" s="717"/>
      <c r="J386" s="1993" t="s">
        <v>2623</v>
      </c>
      <c r="K386" s="1993"/>
      <c r="L386" s="1993"/>
      <c r="M386" s="1993"/>
      <c r="N386" s="1993"/>
      <c r="O386" s="1993"/>
      <c r="P386" s="1993"/>
      <c r="Q386" s="1993"/>
      <c r="R386" s="1993"/>
      <c r="S386" s="1993"/>
      <c r="T386" s="1993"/>
      <c r="U386" s="1993"/>
      <c r="V386" s="58" t="s">
        <v>464</v>
      </c>
      <c r="W386" s="14"/>
      <c r="X386" s="14"/>
      <c r="Y386" s="14"/>
      <c r="Z386" s="14"/>
      <c r="AA386" s="14"/>
      <c r="AB386" s="14"/>
      <c r="AC386" s="2013"/>
      <c r="AD386" s="2013"/>
      <c r="AE386" s="2013"/>
      <c r="AF386" s="2013"/>
      <c r="AG386" s="2013"/>
      <c r="AH386" s="2013"/>
      <c r="AI386" s="2013"/>
      <c r="AJ386" s="2013"/>
      <c r="AK386" s="717"/>
      <c r="AL386" s="717"/>
    </row>
    <row r="387" spans="1:96" ht="12.75" customHeight="1">
      <c r="A387" s="717"/>
      <c r="B387" s="717"/>
      <c r="C387" s="717"/>
      <c r="D387" s="479" t="s">
        <v>1374</v>
      </c>
      <c r="E387" s="717"/>
      <c r="F387" s="717"/>
      <c r="G387" s="717"/>
      <c r="H387" s="717"/>
      <c r="I387" s="88"/>
      <c r="J387" s="2157" t="s">
        <v>2536</v>
      </c>
      <c r="K387" s="2157"/>
      <c r="L387" s="2157"/>
      <c r="M387" s="2157"/>
      <c r="N387" s="2157"/>
      <c r="O387" s="2157"/>
      <c r="P387" s="2157"/>
      <c r="Q387" s="2157"/>
      <c r="R387" s="2157"/>
      <c r="S387" s="2157"/>
      <c r="T387" s="2157"/>
      <c r="U387" s="2157"/>
      <c r="V387" s="2013" t="s">
        <v>2568</v>
      </c>
      <c r="W387" s="2013"/>
      <c r="X387" s="2013"/>
      <c r="Y387" s="2013"/>
      <c r="Z387" s="2013"/>
      <c r="AA387" s="2013"/>
      <c r="AB387" s="2013"/>
      <c r="AC387" s="2013"/>
      <c r="AD387" s="2013"/>
      <c r="AE387" s="2013"/>
      <c r="AF387" s="2013"/>
      <c r="AG387" s="2013"/>
      <c r="AH387" s="2013"/>
      <c r="AI387" s="2013"/>
      <c r="AJ387" s="2013"/>
      <c r="AK387" s="717"/>
      <c r="AL387" s="717"/>
    </row>
    <row r="388" spans="1:96" ht="12.75" customHeight="1">
      <c r="D388" s="12" t="s">
        <v>4</v>
      </c>
      <c r="Q388" s="2383">
        <v>44426</v>
      </c>
      <c r="R388" s="2383"/>
      <c r="S388" s="2383"/>
      <c r="T388" s="2383"/>
      <c r="U388" s="2383"/>
      <c r="V388" s="12" t="s">
        <v>318</v>
      </c>
      <c r="AI388" s="1991" t="s">
        <v>578</v>
      </c>
      <c r="AJ388" s="1991"/>
    </row>
    <row r="389" spans="1:96" ht="12.75" customHeight="1">
      <c r="D389" s="12" t="s">
        <v>5</v>
      </c>
      <c r="Q389" s="2178">
        <v>44926</v>
      </c>
      <c r="R389" s="2304"/>
      <c r="S389" s="2304"/>
      <c r="T389" s="2304"/>
      <c r="U389" s="2304"/>
      <c r="W389" s="33" t="s">
        <v>78</v>
      </c>
      <c r="AG389" s="2384">
        <v>1.0000000000000001E-5</v>
      </c>
      <c r="AH389" s="2384"/>
      <c r="AI389" s="2384"/>
      <c r="AJ389" s="2384"/>
    </row>
    <row r="390" spans="1:96" ht="12.75" customHeight="1">
      <c r="D390" s="12" t="s">
        <v>448</v>
      </c>
      <c r="Q390" s="2385">
        <v>2300000</v>
      </c>
      <c r="R390" s="2385"/>
      <c r="S390" s="2385"/>
      <c r="T390" s="2385"/>
      <c r="U390" s="2385"/>
      <c r="V390" s="58" t="s">
        <v>1377</v>
      </c>
      <c r="AG390" s="2511">
        <v>44896</v>
      </c>
      <c r="AH390" s="2511"/>
      <c r="AI390" s="2511"/>
      <c r="AJ390" s="2511"/>
    </row>
    <row r="391" spans="1:96" ht="12.75" customHeight="1">
      <c r="D391" s="12" t="s">
        <v>93</v>
      </c>
      <c r="I391" s="2302" t="s">
        <v>2540</v>
      </c>
      <c r="J391" s="2296"/>
      <c r="K391" s="2296"/>
      <c r="L391" s="2296"/>
      <c r="M391" s="2296"/>
      <c r="N391" s="2296"/>
      <c r="Q391" s="57" t="s">
        <v>212</v>
      </c>
      <c r="S391" s="2382">
        <v>3015</v>
      </c>
      <c r="T391" s="2382"/>
      <c r="U391" s="2382"/>
      <c r="V391" s="12" t="s">
        <v>77</v>
      </c>
      <c r="AI391" s="1991" t="s">
        <v>706</v>
      </c>
      <c r="AJ391" s="1991"/>
    </row>
    <row r="392" spans="1:96" ht="12.75" customHeight="1">
      <c r="D392" s="12" t="s">
        <v>319</v>
      </c>
      <c r="Q392" s="2163">
        <v>16340</v>
      </c>
      <c r="R392" s="2163"/>
      <c r="S392" s="2163"/>
      <c r="T392" s="2163"/>
      <c r="U392" s="2163"/>
      <c r="V392" s="12" t="s">
        <v>320</v>
      </c>
      <c r="AG392" s="2384">
        <v>393212</v>
      </c>
      <c r="AH392" s="2384"/>
      <c r="AI392" s="2384"/>
      <c r="AJ392" s="2384"/>
    </row>
    <row r="393" spans="1:96" ht="12.75" customHeight="1">
      <c r="D393" s="12" t="s">
        <v>321</v>
      </c>
      <c r="Q393" s="2454">
        <v>1E-8</v>
      </c>
      <c r="R393" s="2454"/>
      <c r="S393" s="2454"/>
      <c r="T393" s="2454"/>
      <c r="U393" s="2454"/>
      <c r="V393" s="717" t="s">
        <v>1354</v>
      </c>
      <c r="AG393" s="2384"/>
      <c r="AH393" s="2384"/>
      <c r="AI393" s="2384"/>
      <c r="AJ393" s="2384"/>
    </row>
    <row r="394" spans="1:96" ht="12.6">
      <c r="D394" s="717" t="s">
        <v>1353</v>
      </c>
      <c r="V394" s="717"/>
      <c r="AG394" s="2384"/>
      <c r="AH394" s="2384"/>
      <c r="AI394" s="2384"/>
      <c r="AJ394" s="2384"/>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1972</v>
      </c>
      <c r="AG396" s="746"/>
      <c r="AH396" s="746"/>
      <c r="AI396" s="1991" t="s">
        <v>706</v>
      </c>
      <c r="AJ396" s="1991"/>
      <c r="AM396" s="39"/>
      <c r="AN396" s="39"/>
      <c r="AO396" s="39"/>
      <c r="AP396" s="39"/>
      <c r="AQ396" s="39"/>
      <c r="AR396" s="39"/>
      <c r="AS396" s="39"/>
      <c r="AT396" s="39"/>
      <c r="AU396" s="39"/>
      <c r="AV396" s="39"/>
      <c r="AW396" s="39"/>
      <c r="AX396" s="39"/>
      <c r="AY396" s="39"/>
      <c r="CR396" s="25"/>
    </row>
    <row r="397" spans="1:96" s="717" customFormat="1" ht="12.6">
      <c r="D397" s="58" t="s">
        <v>1974</v>
      </c>
      <c r="T397" s="2490"/>
      <c r="U397" s="2490"/>
      <c r="V397" s="2490"/>
      <c r="W397" s="2490"/>
      <c r="X397" s="2490"/>
      <c r="Y397" s="2490"/>
      <c r="Z397" s="2490"/>
      <c r="AA397" s="2490"/>
      <c r="AB397" s="2490"/>
      <c r="AC397" s="2490"/>
      <c r="AD397" s="2490"/>
      <c r="AE397" s="2490"/>
      <c r="AF397" s="2490"/>
      <c r="AG397" s="2490"/>
      <c r="AH397" s="2490"/>
      <c r="AI397" s="2490"/>
      <c r="AJ397" s="2490"/>
      <c r="AM397" s="39"/>
      <c r="AN397" s="39"/>
      <c r="AO397" s="39"/>
      <c r="AP397" s="39"/>
      <c r="AQ397" s="39"/>
      <c r="AR397" s="39"/>
      <c r="AS397" s="39"/>
      <c r="AT397" s="39"/>
      <c r="AU397" s="39"/>
      <c r="AV397" s="39"/>
      <c r="AW397" s="39"/>
      <c r="AX397" s="39"/>
      <c r="AY397" s="39"/>
      <c r="CR397" s="25"/>
    </row>
    <row r="398" spans="1:96" s="717" customFormat="1" ht="12.6">
      <c r="D398" s="58" t="s">
        <v>1973</v>
      </c>
      <c r="T398" s="2490"/>
      <c r="U398" s="2490"/>
      <c r="V398" s="2490"/>
      <c r="W398" s="2490"/>
      <c r="X398" s="2490"/>
      <c r="Y398" s="2490"/>
      <c r="Z398" s="2490"/>
      <c r="AA398" s="2490"/>
      <c r="AB398" s="2490"/>
      <c r="AC398" s="2490"/>
      <c r="AD398" s="2490"/>
      <c r="AE398" s="2490"/>
      <c r="AF398" s="2490"/>
      <c r="AG398" s="2490"/>
      <c r="AH398" s="2490"/>
      <c r="AI398" s="2490"/>
      <c r="AJ398" s="2490"/>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1966</v>
      </c>
      <c r="E400" s="717"/>
      <c r="F400" s="717"/>
      <c r="G400" s="717"/>
      <c r="H400" s="717"/>
      <c r="I400" s="717"/>
      <c r="J400" s="717"/>
      <c r="K400" s="717"/>
      <c r="L400" s="717"/>
      <c r="M400" s="717"/>
      <c r="N400" s="717"/>
      <c r="O400" s="717"/>
      <c r="P400" s="717"/>
      <c r="Q400" s="717"/>
      <c r="R400" s="717"/>
      <c r="S400" s="2490" t="s">
        <v>706</v>
      </c>
      <c r="T400" s="2490"/>
      <c r="U400" s="2490"/>
      <c r="V400" s="479" t="s">
        <v>1967</v>
      </c>
      <c r="W400" s="717"/>
      <c r="X400" s="717"/>
      <c r="Y400" s="717"/>
      <c r="Z400" s="717"/>
      <c r="AA400" s="717"/>
      <c r="AB400" s="39"/>
      <c r="AC400" s="39"/>
      <c r="AD400" s="39"/>
      <c r="AE400" s="39"/>
      <c r="AF400" s="39"/>
      <c r="AG400" s="2479"/>
      <c r="AH400" s="2479"/>
      <c r="AI400" s="2479"/>
      <c r="AJ400" s="2479"/>
      <c r="AK400" s="39"/>
      <c r="AL400" s="717"/>
    </row>
    <row r="401" spans="1:96" s="717" customFormat="1" ht="12.6">
      <c r="D401" s="58" t="s">
        <v>1963</v>
      </c>
      <c r="S401" s="2490" t="s">
        <v>626</v>
      </c>
      <c r="T401" s="2490"/>
      <c r="U401" s="2490"/>
      <c r="V401" s="479" t="s">
        <v>1969</v>
      </c>
      <c r="AB401" s="39"/>
      <c r="AC401" s="39"/>
      <c r="AD401" s="39"/>
      <c r="AE401" s="2483"/>
      <c r="AF401" s="2483"/>
      <c r="AG401" s="2483"/>
      <c r="AH401" s="2483"/>
      <c r="AI401" s="2483"/>
      <c r="AJ401" s="2483"/>
      <c r="AK401" s="39"/>
      <c r="AM401" s="39"/>
      <c r="AN401" s="39"/>
      <c r="AO401" s="39"/>
      <c r="AP401" s="39"/>
      <c r="AQ401" s="39"/>
      <c r="AR401" s="39"/>
      <c r="AS401" s="39"/>
      <c r="AT401" s="39"/>
      <c r="AU401" s="39"/>
      <c r="AV401" s="39"/>
      <c r="AW401" s="39"/>
      <c r="AX401" s="39"/>
      <c r="AY401" s="39"/>
      <c r="CR401" s="25"/>
    </row>
    <row r="402" spans="1:96" s="717" customFormat="1" ht="12.6">
      <c r="D402" s="58" t="s">
        <v>1965</v>
      </c>
      <c r="K402" s="2484"/>
      <c r="L402" s="2484"/>
      <c r="M402" s="2484"/>
      <c r="N402" s="2484"/>
      <c r="O402" s="2484"/>
      <c r="P402" s="2484"/>
      <c r="Q402" s="2484"/>
      <c r="R402" s="2484"/>
      <c r="S402" s="2484"/>
      <c r="T402" s="2484"/>
      <c r="U402" s="2484"/>
      <c r="V402" s="2484"/>
      <c r="W402" s="2484"/>
      <c r="X402" s="2484"/>
      <c r="Y402" s="2484"/>
      <c r="Z402" s="2484"/>
      <c r="AA402" s="2484"/>
      <c r="AB402" s="2484"/>
      <c r="AC402" s="2484"/>
      <c r="AD402" s="2484"/>
      <c r="AE402" s="2484"/>
      <c r="AF402" s="2484"/>
      <c r="AG402" s="2484"/>
      <c r="AH402" s="2484"/>
      <c r="AI402" s="2484"/>
      <c r="AJ402" s="2484"/>
      <c r="AK402" s="39"/>
      <c r="AM402" s="39"/>
      <c r="AN402" s="39"/>
      <c r="AO402" s="39"/>
      <c r="AP402" s="39"/>
      <c r="AQ402" s="39"/>
      <c r="AR402" s="39"/>
      <c r="AS402" s="39"/>
      <c r="AT402" s="39"/>
      <c r="AU402" s="39"/>
      <c r="AV402" s="39"/>
      <c r="AW402" s="39"/>
      <c r="AX402" s="39"/>
      <c r="AY402" s="39"/>
      <c r="CR402" s="25"/>
    </row>
    <row r="403" spans="1:96" s="717" customFormat="1" ht="12.6">
      <c r="D403" s="58" t="s">
        <v>1968</v>
      </c>
      <c r="K403" s="2484"/>
      <c r="L403" s="2484"/>
      <c r="M403" s="2484"/>
      <c r="N403" s="2484"/>
      <c r="O403" s="2484"/>
      <c r="P403" s="2484"/>
      <c r="Q403" s="2484"/>
      <c r="R403" s="2484"/>
      <c r="S403" s="2484"/>
      <c r="T403" s="2484"/>
      <c r="U403" s="2484"/>
      <c r="V403" s="2484"/>
      <c r="W403" s="2484"/>
      <c r="X403" s="2484"/>
      <c r="Y403" s="2484"/>
      <c r="Z403" s="2484"/>
      <c r="AA403" s="2484"/>
      <c r="AB403" s="2484"/>
      <c r="AC403" s="2484"/>
      <c r="AD403" s="2484"/>
      <c r="AE403" s="2484"/>
      <c r="AF403" s="2484"/>
      <c r="AG403" s="2484"/>
      <c r="AH403" s="2484"/>
      <c r="AI403" s="2484"/>
      <c r="AJ403" s="2484"/>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86"/>
      <c r="T404" s="2486"/>
      <c r="U404" s="2486"/>
      <c r="V404" s="2486"/>
      <c r="W404" s="2486"/>
      <c r="X404" s="2486"/>
      <c r="Y404" s="2486"/>
      <c r="Z404" s="2486"/>
      <c r="AA404" s="2486"/>
      <c r="AB404" s="2486"/>
      <c r="AC404" s="2486"/>
      <c r="AD404" s="2486"/>
      <c r="AE404" s="2486"/>
      <c r="AF404" s="2486"/>
      <c r="AG404" s="2486"/>
      <c r="AH404" s="2486"/>
      <c r="AI404" s="2486"/>
      <c r="AJ404" s="2486"/>
      <c r="AK404" s="39"/>
      <c r="AL404" s="39"/>
      <c r="AM404" s="39"/>
      <c r="AN404" s="39"/>
      <c r="AO404" s="39"/>
      <c r="AP404" s="39"/>
      <c r="AQ404" s="39"/>
      <c r="AR404" s="39"/>
      <c r="AS404" s="39"/>
      <c r="AT404" s="39"/>
      <c r="AU404" s="39"/>
      <c r="AV404" s="39"/>
      <c r="AW404" s="39"/>
      <c r="AX404" s="39"/>
      <c r="AY404" s="39"/>
      <c r="CR404" s="25"/>
    </row>
    <row r="405" spans="1:96" s="717" customFormat="1" ht="12.6">
      <c r="D405" s="2485" t="s">
        <v>1970</v>
      </c>
      <c r="E405" s="2485"/>
      <c r="F405" s="2485"/>
      <c r="G405" s="2485"/>
      <c r="H405" s="2485"/>
      <c r="I405" s="2485"/>
      <c r="J405" s="2485"/>
      <c r="K405" s="2485"/>
      <c r="L405" s="2485"/>
      <c r="M405" s="2485"/>
      <c r="N405" s="2485"/>
      <c r="O405" s="2485"/>
      <c r="P405" s="2485"/>
      <c r="Q405" s="2485"/>
      <c r="R405" s="2485"/>
      <c r="S405" s="2485"/>
      <c r="T405" s="2485"/>
      <c r="U405" s="2485"/>
      <c r="V405" s="2485"/>
      <c r="W405" s="2485"/>
      <c r="X405" s="2485"/>
      <c r="Y405" s="2485"/>
      <c r="Z405" s="2485"/>
      <c r="AA405" s="2485"/>
      <c r="AB405" s="2485"/>
      <c r="AC405" s="2485"/>
      <c r="AD405" s="2485"/>
      <c r="AE405" s="2485"/>
      <c r="AF405" s="2485"/>
      <c r="AG405" s="2485"/>
      <c r="AH405" s="2485"/>
      <c r="AI405" s="2485"/>
      <c r="AJ405" s="2485"/>
      <c r="AK405" s="39"/>
      <c r="AL405" s="39"/>
      <c r="AM405" s="39"/>
      <c r="AN405" s="39"/>
      <c r="AO405" s="39"/>
      <c r="AP405" s="39"/>
      <c r="AQ405" s="39"/>
      <c r="AR405" s="39"/>
      <c r="AS405" s="39"/>
      <c r="AT405" s="39"/>
      <c r="AU405" s="39"/>
      <c r="AV405" s="39"/>
      <c r="AW405" s="39"/>
      <c r="AX405" s="39"/>
      <c r="AY405" s="39"/>
      <c r="CR405" s="25"/>
    </row>
    <row r="406" spans="1:96" s="717" customFormat="1" ht="12.6">
      <c r="D406" s="2485"/>
      <c r="E406" s="2485"/>
      <c r="F406" s="2485"/>
      <c r="G406" s="2485"/>
      <c r="H406" s="2485"/>
      <c r="I406" s="2485"/>
      <c r="J406" s="2485"/>
      <c r="K406" s="2485"/>
      <c r="L406" s="2485"/>
      <c r="M406" s="2485"/>
      <c r="N406" s="2485"/>
      <c r="O406" s="2485"/>
      <c r="P406" s="2485"/>
      <c r="Q406" s="2485"/>
      <c r="R406" s="2485"/>
      <c r="S406" s="2485"/>
      <c r="T406" s="2485"/>
      <c r="U406" s="2485"/>
      <c r="V406" s="2485"/>
      <c r="W406" s="2485"/>
      <c r="X406" s="2485"/>
      <c r="Y406" s="2485"/>
      <c r="Z406" s="2485"/>
      <c r="AA406" s="2485"/>
      <c r="AB406" s="2485"/>
      <c r="AC406" s="2485"/>
      <c r="AD406" s="2485"/>
      <c r="AE406" s="2485"/>
      <c r="AF406" s="2485"/>
      <c r="AG406" s="2485"/>
      <c r="AH406" s="2485"/>
      <c r="AI406" s="2485"/>
      <c r="AJ406" s="2485"/>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250" t="s">
        <v>2624</v>
      </c>
      <c r="J409" s="2250"/>
      <c r="K409" s="2250"/>
      <c r="L409" s="2250"/>
      <c r="M409" s="2250"/>
      <c r="N409" s="2250"/>
      <c r="O409" s="2250"/>
      <c r="P409" s="2250"/>
      <c r="Q409" s="2250"/>
      <c r="R409" s="2250"/>
      <c r="S409" s="2250"/>
      <c r="T409" s="2250"/>
      <c r="U409" s="2250"/>
      <c r="V409" s="2250"/>
      <c r="W409" s="2250"/>
      <c r="X409" s="2250"/>
      <c r="Y409" s="2250"/>
      <c r="Z409" s="2250"/>
      <c r="AA409" s="2250"/>
      <c r="AB409" s="2250"/>
      <c r="AC409" s="2250"/>
      <c r="AD409" s="2250"/>
      <c r="AE409" s="2250"/>
    </row>
    <row r="410" spans="1:96" ht="12.75" customHeight="1">
      <c r="C410" s="25"/>
      <c r="D410" s="25"/>
      <c r="E410" s="12" t="s">
        <v>111</v>
      </c>
      <c r="F410" s="25"/>
      <c r="G410" s="25"/>
      <c r="H410" s="25"/>
      <c r="I410" s="25"/>
      <c r="J410" s="25"/>
      <c r="K410" s="25"/>
      <c r="L410" s="25"/>
      <c r="M410" s="25"/>
      <c r="N410" s="25"/>
      <c r="O410" s="25"/>
      <c r="P410" s="717"/>
      <c r="Q410" s="717"/>
      <c r="R410" s="1991" t="s">
        <v>626</v>
      </c>
      <c r="S410" s="1991"/>
      <c r="T410" s="12" t="s">
        <v>604</v>
      </c>
      <c r="U410" s="717"/>
      <c r="V410" s="717"/>
      <c r="W410" s="717"/>
      <c r="X410" s="717"/>
      <c r="Y410" s="717"/>
      <c r="Z410" s="717"/>
      <c r="AA410" s="717"/>
      <c r="AB410" s="717"/>
      <c r="AC410" s="717"/>
      <c r="AD410" s="2301">
        <v>0</v>
      </c>
      <c r="AE410" s="2301"/>
      <c r="AF410" s="717"/>
    </row>
    <row r="411" spans="1:96" ht="12.6">
      <c r="C411" s="25"/>
      <c r="E411" s="12" t="s">
        <v>112</v>
      </c>
      <c r="F411" s="717"/>
      <c r="G411" s="717"/>
      <c r="H411" s="717"/>
      <c r="I411" s="717"/>
      <c r="J411" s="717"/>
      <c r="K411" s="717"/>
      <c r="L411" s="717"/>
      <c r="M411" s="717"/>
      <c r="N411" s="25"/>
      <c r="O411" s="25"/>
      <c r="P411" s="717"/>
      <c r="Q411" s="717"/>
      <c r="R411" s="1991" t="s">
        <v>578</v>
      </c>
      <c r="S411" s="1991"/>
      <c r="T411" s="12" t="s">
        <v>604</v>
      </c>
      <c r="U411" s="717"/>
      <c r="V411" s="717"/>
      <c r="W411" s="717"/>
      <c r="X411" s="717"/>
      <c r="Y411" s="717"/>
      <c r="Z411" s="717"/>
      <c r="AA411" s="717"/>
      <c r="AB411" s="717"/>
      <c r="AC411" s="717"/>
      <c r="AD411" s="2301">
        <v>3</v>
      </c>
      <c r="AE411" s="2301"/>
      <c r="AF411" s="717"/>
    </row>
    <row r="412" spans="1:96" ht="12.75" customHeight="1">
      <c r="C412" s="25"/>
      <c r="E412" s="12" t="s">
        <v>113</v>
      </c>
      <c r="F412" s="717"/>
      <c r="G412" s="717"/>
      <c r="H412" s="717"/>
      <c r="I412" s="717"/>
      <c r="J412" s="717"/>
      <c r="K412" s="717"/>
      <c r="L412" s="717"/>
      <c r="M412" s="717"/>
      <c r="N412" s="25"/>
      <c r="O412" s="25"/>
      <c r="P412" s="717"/>
      <c r="Q412" s="717"/>
      <c r="R412" s="717"/>
      <c r="S412" s="1991" t="s">
        <v>626</v>
      </c>
      <c r="T412" s="1991"/>
      <c r="U412" s="717"/>
      <c r="V412" s="717"/>
      <c r="W412" s="717"/>
      <c r="X412" s="717"/>
      <c r="Y412" s="717"/>
      <c r="Z412" s="717"/>
      <c r="AA412" s="717"/>
      <c r="AB412" s="717"/>
      <c r="AC412" s="717"/>
      <c r="AD412" s="717"/>
      <c r="AE412" s="717"/>
      <c r="AF412" s="717"/>
    </row>
    <row r="413" spans="1:96" ht="12.75" customHeight="1">
      <c r="E413" s="12" t="s">
        <v>175</v>
      </c>
      <c r="F413" s="717"/>
      <c r="G413" s="717"/>
      <c r="H413" s="2452" t="s">
        <v>2625</v>
      </c>
      <c r="I413" s="2452"/>
      <c r="J413" s="2452"/>
      <c r="K413" s="2452"/>
      <c r="L413" s="2452"/>
      <c r="M413" s="2452"/>
      <c r="N413" s="2452"/>
      <c r="O413" s="2452"/>
      <c r="P413" s="2452"/>
      <c r="Q413" s="2452"/>
      <c r="R413" s="2452"/>
      <c r="S413" s="2452"/>
      <c r="T413" s="2452"/>
      <c r="U413" s="2452"/>
      <c r="V413" s="2452"/>
      <c r="W413" s="2452"/>
      <c r="X413" s="2452"/>
      <c r="Y413" s="2452"/>
      <c r="Z413" s="2452"/>
      <c r="AA413" s="2452"/>
      <c r="AB413" s="2452"/>
      <c r="AC413" s="2452"/>
      <c r="AD413" s="2452"/>
      <c r="AE413" s="2452"/>
      <c r="AF413" s="717"/>
    </row>
    <row r="414" spans="1:96" ht="12.75" customHeight="1">
      <c r="E414" s="25"/>
      <c r="F414" s="717"/>
      <c r="G414" s="717"/>
      <c r="H414" s="2453"/>
      <c r="I414" s="2453"/>
      <c r="J414" s="2453"/>
      <c r="K414" s="2453"/>
      <c r="L414" s="2453"/>
      <c r="M414" s="2453"/>
      <c r="N414" s="2453"/>
      <c r="O414" s="2453"/>
      <c r="P414" s="2453"/>
      <c r="Q414" s="2453"/>
      <c r="R414" s="2453"/>
      <c r="S414" s="2453"/>
      <c r="T414" s="2453"/>
      <c r="U414" s="2453"/>
      <c r="V414" s="2453"/>
      <c r="W414" s="2453"/>
      <c r="X414" s="2453"/>
      <c r="Y414" s="2453"/>
      <c r="Z414" s="2453"/>
      <c r="AA414" s="2453"/>
      <c r="AB414" s="2453"/>
      <c r="AC414" s="2453"/>
      <c r="AD414" s="2453"/>
      <c r="AE414" s="2453"/>
      <c r="AF414" s="717"/>
    </row>
    <row r="415" spans="1:96" ht="12.75" customHeight="1"/>
    <row r="416" spans="1:96" ht="12.75" customHeight="1">
      <c r="A416" s="50" t="s">
        <v>625</v>
      </c>
      <c r="B416" s="50"/>
      <c r="C416" s="50"/>
      <c r="D416" s="50" t="s">
        <v>119</v>
      </c>
      <c r="AF416" s="50" t="s">
        <v>1036</v>
      </c>
    </row>
    <row r="417" spans="1:96" ht="12.75" customHeight="1">
      <c r="E417" s="2386"/>
      <c r="F417" s="2386"/>
      <c r="G417" s="2386"/>
      <c r="H417" s="23" t="s">
        <v>120</v>
      </c>
      <c r="I417" s="2386"/>
      <c r="J417" s="2386"/>
      <c r="K417" s="2386"/>
      <c r="L417" s="12" t="s">
        <v>121</v>
      </c>
      <c r="N417" s="141" t="s">
        <v>610</v>
      </c>
      <c r="P417" s="2381">
        <v>8.35</v>
      </c>
      <c r="Q417" s="2381"/>
      <c r="R417" s="2381"/>
      <c r="S417" s="12" t="s">
        <v>122</v>
      </c>
      <c r="W417" s="2514">
        <f>IF(E417&gt;0,(E417*I417),(P417*43560))</f>
        <v>363726</v>
      </c>
      <c r="X417" s="2514"/>
      <c r="Y417" s="2514"/>
      <c r="Z417" s="12" t="s">
        <v>123</v>
      </c>
      <c r="AF417" s="2446">
        <f>IF(P417&gt;0,(AG436/P417),(AG436/(W417/43560)))</f>
        <v>35.209580838323355</v>
      </c>
      <c r="AG417" s="2446"/>
      <c r="AH417" s="2446"/>
      <c r="AM417" s="239"/>
    </row>
    <row r="418" spans="1:96" ht="12.6">
      <c r="E418" s="12" t="s">
        <v>54</v>
      </c>
    </row>
    <row r="419" spans="1:96" ht="12.75" customHeight="1">
      <c r="E419" s="2502"/>
      <c r="F419" s="2502"/>
      <c r="G419" s="2502"/>
      <c r="H419" s="2502"/>
      <c r="I419" s="2502"/>
      <c r="J419" s="2502"/>
      <c r="K419" s="2502"/>
      <c r="L419" s="2502"/>
      <c r="M419" s="2502"/>
      <c r="N419" s="2502"/>
      <c r="O419" s="2502"/>
      <c r="P419" s="2502"/>
      <c r="Q419" s="2502"/>
      <c r="R419" s="2502"/>
      <c r="S419" s="2502"/>
      <c r="T419" s="2502"/>
      <c r="U419" s="2502"/>
      <c r="V419" s="2502"/>
      <c r="W419" s="2502"/>
      <c r="X419" s="2502"/>
      <c r="Y419" s="2502"/>
      <c r="Z419" s="2502"/>
      <c r="AA419" s="2502"/>
      <c r="AB419" s="2502"/>
      <c r="AC419" s="2502"/>
      <c r="AD419" s="2502"/>
      <c r="AE419" s="2502"/>
      <c r="AF419" s="2502"/>
      <c r="AG419" s="2502"/>
      <c r="AH419" s="2502"/>
      <c r="AI419" s="2502"/>
      <c r="AJ419" s="2502"/>
    </row>
    <row r="420" spans="1:96" s="39" customFormat="1" ht="12.75" customHeight="1">
      <c r="E420" s="254" t="s">
        <v>2163</v>
      </c>
      <c r="F420" s="1707"/>
      <c r="G420" s="1707"/>
      <c r="H420" s="1707"/>
      <c r="I420" s="2303">
        <v>7.91</v>
      </c>
      <c r="J420" s="2303"/>
      <c r="K420" s="2303"/>
      <c r="L420" s="1707"/>
      <c r="M420" s="254"/>
      <c r="N420" s="1707"/>
      <c r="O420" s="1707"/>
      <c r="P420" s="2261">
        <f>(CS637+CS645+CS661)/I420</f>
        <v>65.739570164348919</v>
      </c>
      <c r="Q420" s="2261"/>
      <c r="R420" s="2261"/>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1">
        <v>13</v>
      </c>
      <c r="Q423" s="1991"/>
      <c r="S423" s="12" t="s">
        <v>195</v>
      </c>
      <c r="AE423" s="1991">
        <v>13</v>
      </c>
      <c r="AF423" s="1991"/>
    </row>
    <row r="424" spans="1:96" ht="12.6">
      <c r="E424" s="12" t="s">
        <v>196</v>
      </c>
      <c r="P424" s="1991">
        <v>0</v>
      </c>
      <c r="Q424" s="1991"/>
      <c r="S424" s="12" t="s">
        <v>136</v>
      </c>
      <c r="AE424" s="1991" t="s">
        <v>626</v>
      </c>
      <c r="AF424" s="1991"/>
    </row>
    <row r="425" spans="1:96" ht="12.6">
      <c r="F425" s="67" t="s">
        <v>137</v>
      </c>
    </row>
    <row r="426" spans="1:96" ht="12.6">
      <c r="F426" s="2406" t="s">
        <v>2626</v>
      </c>
      <c r="G426" s="2406"/>
      <c r="H426" s="2406"/>
      <c r="I426" s="2406"/>
      <c r="J426" s="2406"/>
      <c r="K426" s="2406"/>
      <c r="L426" s="2406"/>
      <c r="M426" s="2406"/>
      <c r="N426" s="2406"/>
      <c r="O426" s="2406"/>
      <c r="P426" s="2406"/>
      <c r="Q426" s="2406"/>
      <c r="R426" s="2406"/>
      <c r="S426" s="2406"/>
      <c r="T426" s="2406"/>
      <c r="U426" s="2406"/>
      <c r="V426" s="2406"/>
      <c r="W426" s="2406"/>
      <c r="X426" s="2406"/>
      <c r="Y426" s="2406"/>
      <c r="Z426" s="2406"/>
      <c r="AA426" s="2406"/>
      <c r="AB426" s="2406"/>
      <c r="AC426" s="2406"/>
      <c r="AD426" s="2406"/>
      <c r="AE426" s="2406"/>
      <c r="AF426" s="2406"/>
      <c r="AG426" s="2406"/>
      <c r="AH426" s="2406"/>
    </row>
    <row r="427" spans="1:96" ht="12.75" customHeight="1">
      <c r="F427" s="2407"/>
      <c r="G427" s="2407"/>
      <c r="H427" s="2407"/>
      <c r="I427" s="2407"/>
      <c r="J427" s="2407"/>
      <c r="K427" s="2407"/>
      <c r="L427" s="2407"/>
      <c r="M427" s="2407"/>
      <c r="N427" s="2407"/>
      <c r="O427" s="2407"/>
      <c r="P427" s="2407"/>
      <c r="Q427" s="2407"/>
      <c r="R427" s="2407"/>
      <c r="S427" s="2407"/>
      <c r="T427" s="2407"/>
      <c r="U427" s="2407"/>
      <c r="V427" s="2407"/>
      <c r="W427" s="2407"/>
      <c r="X427" s="2407"/>
      <c r="Y427" s="2407"/>
      <c r="Z427" s="2407"/>
      <c r="AA427" s="2407"/>
      <c r="AB427" s="2407"/>
      <c r="AC427" s="2407"/>
      <c r="AD427" s="2407"/>
      <c r="AE427" s="2407"/>
      <c r="AF427" s="2407"/>
      <c r="AG427" s="2407"/>
      <c r="AH427" s="2407"/>
    </row>
    <row r="428" spans="1:96" ht="12.75" customHeight="1">
      <c r="E428" s="12" t="s">
        <v>643</v>
      </c>
      <c r="N428" s="39"/>
      <c r="O428" s="39"/>
      <c r="P428" s="235"/>
      <c r="Q428" s="1991" t="s">
        <v>578</v>
      </c>
      <c r="R428" s="199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1" t="s">
        <v>626</v>
      </c>
      <c r="AG429" s="2510"/>
    </row>
    <row r="430" spans="1:96" ht="12.75" customHeight="1">
      <c r="S430" s="25"/>
      <c r="T430" s="25"/>
    </row>
    <row r="431" spans="1:96" ht="12.75" customHeight="1">
      <c r="A431" s="50"/>
      <c r="B431" s="50"/>
      <c r="C431" s="50"/>
      <c r="E431" s="7" t="s">
        <v>317</v>
      </c>
      <c r="Z431" s="1991" t="s">
        <v>706</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1" t="s">
        <v>626</v>
      </c>
      <c r="AA433" s="1991"/>
    </row>
    <row r="434" spans="1:110" ht="12.75" customHeight="1"/>
    <row r="435" spans="1:110" ht="12.75" customHeight="1">
      <c r="A435" s="50" t="s">
        <v>500</v>
      </c>
      <c r="B435" s="50"/>
      <c r="C435" s="50"/>
      <c r="D435" s="50" t="s">
        <v>822</v>
      </c>
      <c r="AF435" s="80"/>
    </row>
    <row r="436" spans="1:110" ht="12.75" customHeight="1">
      <c r="D436" s="2211" t="s">
        <v>46</v>
      </c>
      <c r="E436" s="2212"/>
      <c r="F436" s="2212"/>
      <c r="G436" s="2212"/>
      <c r="H436" s="2212"/>
      <c r="I436" s="2212"/>
      <c r="J436" s="2212"/>
      <c r="K436" s="2212"/>
      <c r="L436" s="2212"/>
      <c r="M436" s="2212"/>
      <c r="N436" s="2212"/>
      <c r="O436" s="2212"/>
      <c r="P436" s="2212"/>
      <c r="Q436" s="2212"/>
      <c r="R436" s="2212"/>
      <c r="S436" s="2212"/>
      <c r="T436" s="2212"/>
      <c r="U436" s="2212"/>
      <c r="V436" s="2212"/>
      <c r="W436" s="2212"/>
      <c r="X436" s="2212"/>
      <c r="Y436" s="2212"/>
      <c r="Z436" s="2212"/>
      <c r="AA436" s="2212"/>
      <c r="AB436" s="2212"/>
      <c r="AC436" s="2212"/>
      <c r="AD436" s="2212"/>
      <c r="AE436" s="2212"/>
      <c r="AF436" s="2503"/>
      <c r="AG436" s="2480">
        <v>294</v>
      </c>
      <c r="AH436" s="2480"/>
      <c r="AI436" s="2480"/>
      <c r="AJ436" s="2480"/>
    </row>
    <row r="437" spans="1:110" ht="12.75" customHeight="1">
      <c r="D437" s="2431" t="s">
        <v>1432</v>
      </c>
      <c r="E437" s="2432"/>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2433"/>
      <c r="AG437" s="2518"/>
      <c r="AH437" s="2242"/>
      <c r="AI437" s="2242"/>
      <c r="AJ437" s="2242"/>
    </row>
    <row r="438" spans="1:110" ht="12.75" customHeight="1">
      <c r="D438" s="2431" t="s">
        <v>1141</v>
      </c>
      <c r="E438" s="2432"/>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2433"/>
      <c r="AG438" s="2480">
        <v>291</v>
      </c>
      <c r="AH438" s="2480"/>
      <c r="AI438" s="2480"/>
      <c r="AJ438" s="2480"/>
    </row>
    <row r="439" spans="1:110" ht="12.75" customHeight="1">
      <c r="D439" s="2431" t="s">
        <v>1142</v>
      </c>
      <c r="E439" s="2432"/>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2433"/>
      <c r="AG439" s="2480">
        <v>291</v>
      </c>
      <c r="AH439" s="2480"/>
      <c r="AI439" s="2480"/>
      <c r="AJ439" s="2480"/>
    </row>
    <row r="440" spans="1:110" ht="12.75" customHeight="1">
      <c r="D440" s="2431" t="s">
        <v>1144</v>
      </c>
      <c r="E440" s="2432"/>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2433"/>
      <c r="AG440" s="2481">
        <f>IF(ISERROR(AG439/AG438),"",AG439/AG438)</f>
        <v>1</v>
      </c>
      <c r="AH440" s="2481"/>
      <c r="AI440" s="2481"/>
      <c r="AJ440" s="2481"/>
    </row>
    <row r="441" spans="1:110" ht="12.75" customHeight="1">
      <c r="D441" s="2431" t="s">
        <v>1143</v>
      </c>
      <c r="E441" s="2432"/>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F441" s="2433"/>
      <c r="AG441" s="2447">
        <v>224563</v>
      </c>
      <c r="AH441" s="2447"/>
      <c r="AI441" s="2447"/>
      <c r="AJ441" s="2447"/>
    </row>
    <row r="442" spans="1:110" ht="12.75" customHeight="1">
      <c r="D442" s="2431" t="s">
        <v>1145</v>
      </c>
      <c r="E442" s="2432"/>
      <c r="F442" s="2432"/>
      <c r="G442" s="2432"/>
      <c r="H442" s="2432"/>
      <c r="I442" s="2432"/>
      <c r="J442" s="2432"/>
      <c r="K442" s="2432"/>
      <c r="L442" s="2432"/>
      <c r="M442" s="2432"/>
      <c r="N442" s="2432"/>
      <c r="O442" s="2432"/>
      <c r="P442" s="2432"/>
      <c r="Q442" s="2432"/>
      <c r="R442" s="2432"/>
      <c r="S442" s="2432"/>
      <c r="T442" s="2432"/>
      <c r="U442" s="2432"/>
      <c r="V442" s="2432"/>
      <c r="W442" s="2432"/>
      <c r="X442" s="2432"/>
      <c r="Y442" s="2432"/>
      <c r="Z442" s="2432"/>
      <c r="AA442" s="2432"/>
      <c r="AB442" s="2432"/>
      <c r="AC442" s="2432"/>
      <c r="AD442" s="2432"/>
      <c r="AE442" s="2432"/>
      <c r="AF442" s="2433"/>
      <c r="AG442" s="2447">
        <v>224563</v>
      </c>
      <c r="AH442" s="2447"/>
      <c r="AI442" s="2447"/>
      <c r="AJ442" s="2447"/>
    </row>
    <row r="443" spans="1:110" ht="12.75" customHeight="1">
      <c r="D443" s="2431" t="s">
        <v>1146</v>
      </c>
      <c r="E443" s="2432"/>
      <c r="F443" s="2432"/>
      <c r="G443" s="2432"/>
      <c r="H443" s="2432"/>
      <c r="I443" s="2432"/>
      <c r="J443" s="2432"/>
      <c r="K443" s="2432"/>
      <c r="L443" s="2432"/>
      <c r="M443" s="2432"/>
      <c r="N443" s="2432"/>
      <c r="O443" s="2432"/>
      <c r="P443" s="2432"/>
      <c r="Q443" s="2432"/>
      <c r="R443" s="2432"/>
      <c r="S443" s="2432"/>
      <c r="T443" s="2432"/>
      <c r="U443" s="2432"/>
      <c r="V443" s="2432"/>
      <c r="W443" s="2432"/>
      <c r="X443" s="2432"/>
      <c r="Y443" s="2432"/>
      <c r="Z443" s="2432"/>
      <c r="AA443" s="2432"/>
      <c r="AB443" s="2432"/>
      <c r="AC443" s="2432"/>
      <c r="AD443" s="2432"/>
      <c r="AE443" s="2432"/>
      <c r="AF443" s="2433"/>
      <c r="AG443" s="2481">
        <f>IF(ISERROR(AG442/AG441),"",AG442/AG441)</f>
        <v>1</v>
      </c>
      <c r="AH443" s="2481"/>
      <c r="AI443" s="2481"/>
      <c r="AJ443" s="2481"/>
    </row>
    <row r="444" spans="1:110" ht="12.75" customHeight="1">
      <c r="D444" s="2431" t="s">
        <v>1147</v>
      </c>
      <c r="E444" s="2432"/>
      <c r="F444" s="2432"/>
      <c r="G444" s="2432"/>
      <c r="H444" s="2432"/>
      <c r="I444" s="2432"/>
      <c r="J444" s="2432"/>
      <c r="K444" s="2432"/>
      <c r="L444" s="2432"/>
      <c r="M444" s="2432"/>
      <c r="N444" s="2432"/>
      <c r="O444" s="2432"/>
      <c r="P444" s="2432"/>
      <c r="Q444" s="2432"/>
      <c r="R444" s="2432"/>
      <c r="S444" s="2432"/>
      <c r="T444" s="2432"/>
      <c r="U444" s="2432"/>
      <c r="V444" s="2432"/>
      <c r="W444" s="2432"/>
      <c r="X444" s="2432"/>
      <c r="Y444" s="2432"/>
      <c r="Z444" s="2432"/>
      <c r="AA444" s="2432"/>
      <c r="AB444" s="2432"/>
      <c r="AC444" s="2432"/>
      <c r="AD444" s="2432"/>
      <c r="AE444" s="2432"/>
      <c r="AF444" s="2433"/>
      <c r="AG444" s="2481">
        <f>MIN(IF(AG440&gt;AG443,AG443,AG440),1)</f>
        <v>1</v>
      </c>
      <c r="AH444" s="2481"/>
      <c r="AI444" s="2481"/>
      <c r="AJ444" s="2481"/>
    </row>
    <row r="445" spans="1:110" ht="12.75" customHeight="1">
      <c r="D445" s="2431" t="s">
        <v>1408</v>
      </c>
      <c r="E445" s="2212"/>
      <c r="F445" s="2212"/>
      <c r="G445" s="2212"/>
      <c r="H445" s="2212"/>
      <c r="I445" s="2212"/>
      <c r="J445" s="2212"/>
      <c r="K445" s="2212"/>
      <c r="L445" s="2212"/>
      <c r="M445" s="2212"/>
      <c r="N445" s="2212"/>
      <c r="O445" s="2212"/>
      <c r="P445" s="2212"/>
      <c r="Q445" s="2212"/>
      <c r="R445" s="2212"/>
      <c r="S445" s="2212"/>
      <c r="T445" s="2212"/>
      <c r="U445" s="2212"/>
      <c r="V445" s="2212"/>
      <c r="W445" s="2212"/>
      <c r="X445" s="2212"/>
      <c r="Y445" s="2212"/>
      <c r="Z445" s="2212"/>
      <c r="AA445" s="2212"/>
      <c r="AB445" s="2212"/>
      <c r="AC445" s="2212"/>
      <c r="AD445" s="2212"/>
      <c r="AE445" s="2212"/>
      <c r="AF445" s="2503"/>
      <c r="AG445" s="2447">
        <v>41712</v>
      </c>
      <c r="AH445" s="2447"/>
      <c r="AI445" s="2447"/>
      <c r="AJ445" s="2447"/>
    </row>
    <row r="446" spans="1:110" ht="12.75" customHeight="1">
      <c r="D446" s="2211" t="s">
        <v>602</v>
      </c>
      <c r="E446" s="2212"/>
      <c r="F446" s="2212"/>
      <c r="G446" s="2212"/>
      <c r="H446" s="2212"/>
      <c r="I446" s="2212"/>
      <c r="J446" s="2212"/>
      <c r="K446" s="2212"/>
      <c r="L446" s="2212"/>
      <c r="M446" s="2212"/>
      <c r="N446" s="2212"/>
      <c r="O446" s="2212"/>
      <c r="P446" s="2212"/>
      <c r="Q446" s="2212"/>
      <c r="R446" s="2212"/>
      <c r="S446" s="2212"/>
      <c r="T446" s="2212"/>
      <c r="U446" s="2212"/>
      <c r="V446" s="2212"/>
      <c r="W446" s="2212"/>
      <c r="X446" s="2212"/>
      <c r="Y446" s="2212"/>
      <c r="Z446" s="2212"/>
      <c r="AA446" s="2212"/>
      <c r="AB446" s="2212"/>
      <c r="AC446" s="2212"/>
      <c r="AD446" s="2212"/>
      <c r="AE446" s="2212"/>
      <c r="AF446" s="2503"/>
      <c r="AG446" s="2447">
        <v>0</v>
      </c>
      <c r="AH446" s="2447"/>
      <c r="AI446" s="2447"/>
      <c r="AJ446" s="244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2431" t="s">
        <v>1409</v>
      </c>
      <c r="E447" s="2212"/>
      <c r="F447" s="2212"/>
      <c r="G447" s="2212"/>
      <c r="H447" s="2212"/>
      <c r="I447" s="2212"/>
      <c r="J447" s="2212"/>
      <c r="K447" s="2212"/>
      <c r="L447" s="2212"/>
      <c r="M447" s="2212"/>
      <c r="N447" s="2212"/>
      <c r="O447" s="2212"/>
      <c r="P447" s="2212"/>
      <c r="Q447" s="2212"/>
      <c r="R447" s="2212"/>
      <c r="S447" s="2212"/>
      <c r="T447" s="2212"/>
      <c r="U447" s="2212"/>
      <c r="V447" s="2212"/>
      <c r="W447" s="2212"/>
      <c r="X447" s="2212"/>
      <c r="Y447" s="2212"/>
      <c r="Z447" s="2212"/>
      <c r="AA447" s="2212"/>
      <c r="AB447" s="2212"/>
      <c r="AC447" s="2212"/>
      <c r="AD447" s="2212"/>
      <c r="AE447" s="2212"/>
      <c r="AF447" s="2503"/>
      <c r="AG447" s="2447">
        <v>2475</v>
      </c>
      <c r="AH447" s="2447"/>
      <c r="AI447" s="2447"/>
      <c r="AJ447" s="244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31" t="s">
        <v>1148</v>
      </c>
      <c r="E448" s="2212"/>
      <c r="F448" s="2212"/>
      <c r="G448" s="2212"/>
      <c r="H448" s="2212"/>
      <c r="I448" s="2212"/>
      <c r="J448" s="2212"/>
      <c r="K448" s="2212"/>
      <c r="L448" s="2212"/>
      <c r="M448" s="2212"/>
      <c r="N448" s="2212"/>
      <c r="O448" s="2212"/>
      <c r="P448" s="2212"/>
      <c r="Q448" s="2212"/>
      <c r="R448" s="2212"/>
      <c r="S448" s="2212"/>
      <c r="T448" s="2212"/>
      <c r="U448" s="2212"/>
      <c r="V448" s="2212"/>
      <c r="W448" s="2212"/>
      <c r="X448" s="2212"/>
      <c r="Y448" s="2212"/>
      <c r="Z448" s="2212"/>
      <c r="AA448" s="2212"/>
      <c r="AB448" s="2212"/>
      <c r="AC448" s="2212"/>
      <c r="AD448" s="2212"/>
      <c r="AE448" s="2212"/>
      <c r="AF448" s="2503"/>
      <c r="AG448" s="2447">
        <v>0</v>
      </c>
      <c r="AH448" s="2447"/>
      <c r="AI448" s="2447"/>
      <c r="AJ448" s="244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424" t="s">
        <v>1149</v>
      </c>
      <c r="E449" s="2425"/>
      <c r="F449" s="2425"/>
      <c r="G449" s="2425"/>
      <c r="H449" s="2425"/>
      <c r="I449" s="2425"/>
      <c r="J449" s="2425"/>
      <c r="K449" s="2425"/>
      <c r="L449" s="2425"/>
      <c r="M449" s="2425"/>
      <c r="N449" s="2425"/>
      <c r="O449" s="2425"/>
      <c r="P449" s="2425"/>
      <c r="Q449" s="2425"/>
      <c r="R449" s="2425"/>
      <c r="S449" s="2425"/>
      <c r="T449" s="2425"/>
      <c r="U449" s="2425"/>
      <c r="V449" s="2425"/>
      <c r="W449" s="2425"/>
      <c r="X449" s="2425"/>
      <c r="Y449" s="2425"/>
      <c r="Z449" s="2425"/>
      <c r="AA449" s="2425"/>
      <c r="AB449" s="2425"/>
      <c r="AC449" s="2425"/>
      <c r="AD449" s="2425"/>
      <c r="AE449" s="2425"/>
      <c r="AF449" s="2426"/>
      <c r="AG449" s="2509">
        <f>AG441+AG445+AG447+AG448</f>
        <v>268750</v>
      </c>
      <c r="AH449" s="2509"/>
      <c r="AI449" s="2509"/>
      <c r="AJ449" s="250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427" t="s">
        <v>1410</v>
      </c>
      <c r="E450" s="2427"/>
      <c r="F450" s="2427"/>
      <c r="G450" s="2427"/>
      <c r="H450" s="2427"/>
      <c r="I450" s="2427"/>
      <c r="J450" s="2427"/>
      <c r="K450" s="2427"/>
      <c r="L450" s="2427"/>
      <c r="M450" s="2427"/>
      <c r="N450" s="2427"/>
      <c r="O450" s="2427"/>
      <c r="P450" s="2427"/>
      <c r="Q450" s="2427"/>
      <c r="R450" s="2427"/>
      <c r="S450" s="2427"/>
      <c r="T450" s="2427"/>
      <c r="U450" s="2427"/>
      <c r="V450" s="2427"/>
      <c r="W450" s="2427"/>
      <c r="X450" s="2427"/>
      <c r="Y450" s="2427"/>
      <c r="Z450" s="2427"/>
      <c r="AA450" s="2427"/>
      <c r="AB450" s="2427"/>
      <c r="AC450" s="2427"/>
      <c r="AD450" s="2427"/>
      <c r="AE450" s="2427"/>
      <c r="AF450" s="2427"/>
      <c r="AG450" s="2427"/>
      <c r="AH450" s="2427"/>
      <c r="AI450" s="2427"/>
      <c r="AJ450" s="242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428"/>
      <c r="E451" s="2428"/>
      <c r="F451" s="2428"/>
      <c r="G451" s="2428"/>
      <c r="H451" s="2428"/>
      <c r="I451" s="2428"/>
      <c r="J451" s="2428"/>
      <c r="K451" s="2428"/>
      <c r="L451" s="2428"/>
      <c r="M451" s="2428"/>
      <c r="N451" s="2428"/>
      <c r="O451" s="2428"/>
      <c r="P451" s="2428"/>
      <c r="Q451" s="2428"/>
      <c r="R451" s="2428"/>
      <c r="S451" s="2428"/>
      <c r="T451" s="2428"/>
      <c r="U451" s="2428"/>
      <c r="V451" s="2428"/>
      <c r="W451" s="2428"/>
      <c r="X451" s="2428"/>
      <c r="Y451" s="2428"/>
      <c r="Z451" s="2428"/>
      <c r="AA451" s="2428"/>
      <c r="AB451" s="2428"/>
      <c r="AC451" s="2428"/>
      <c r="AD451" s="2428"/>
      <c r="AE451" s="2428"/>
      <c r="AF451" s="2428"/>
      <c r="AG451" s="2428"/>
      <c r="AH451" s="2428"/>
      <c r="AI451" s="2428"/>
      <c r="AJ451" s="242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2">
        <f>'Sources and Uses Budget'!B105/Application!AG436</f>
        <v>376175.59183673467</v>
      </c>
      <c r="AD453" s="2482"/>
      <c r="AE453" s="2482"/>
      <c r="AF453" s="248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2">
        <f>'Sources and Uses Budget'!C105/Application!AG436</f>
        <v>376175.59183673467</v>
      </c>
      <c r="AD454" s="2482"/>
      <c r="AE454" s="2482"/>
      <c r="AF454" s="248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2">
        <f>('Sources and Uses Budget'!$S$107+'Sources and Uses Budget'!$T$107)/Application!AG436</f>
        <v>360464.14285714284</v>
      </c>
      <c r="AD455" s="2482"/>
      <c r="AE455" s="2482"/>
      <c r="AF455" s="248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434" t="s">
        <v>731</v>
      </c>
      <c r="E464" s="2435"/>
      <c r="F464" s="2435"/>
      <c r="G464" s="2435"/>
      <c r="H464" s="2435"/>
      <c r="I464" s="2435"/>
      <c r="J464" s="2435"/>
      <c r="K464" s="2435"/>
      <c r="L464" s="2435"/>
      <c r="M464" s="2435"/>
      <c r="N464" s="2435"/>
      <c r="O464" s="2435"/>
      <c r="P464" s="2435"/>
      <c r="Q464" s="2435"/>
      <c r="R464" s="2435"/>
      <c r="S464" s="2435"/>
      <c r="T464" s="2435"/>
      <c r="U464" s="2435"/>
      <c r="V464" s="2436"/>
      <c r="W464" s="2297">
        <v>0</v>
      </c>
      <c r="X464" s="2298"/>
      <c r="Y464" s="22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434" t="s">
        <v>732</v>
      </c>
      <c r="E465" s="2435"/>
      <c r="F465" s="2435"/>
      <c r="G465" s="2435"/>
      <c r="H465" s="2435"/>
      <c r="I465" s="2435"/>
      <c r="J465" s="2435"/>
      <c r="K465" s="2435"/>
      <c r="L465" s="2435"/>
      <c r="M465" s="2435"/>
      <c r="N465" s="2435"/>
      <c r="O465" s="2435"/>
      <c r="P465" s="2435"/>
      <c r="Q465" s="2435"/>
      <c r="R465" s="2435"/>
      <c r="S465" s="2435"/>
      <c r="T465" s="2435"/>
      <c r="U465" s="2435"/>
      <c r="V465" s="2436"/>
      <c r="W465" s="2297">
        <v>0</v>
      </c>
      <c r="X465" s="2298"/>
      <c r="Y465" s="22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434" t="s">
        <v>733</v>
      </c>
      <c r="E466" s="2435"/>
      <c r="F466" s="2435"/>
      <c r="G466" s="2435"/>
      <c r="H466" s="2435"/>
      <c r="I466" s="2435"/>
      <c r="J466" s="2435"/>
      <c r="K466" s="2435"/>
      <c r="L466" s="2435"/>
      <c r="M466" s="2435"/>
      <c r="N466" s="2435"/>
      <c r="O466" s="2435"/>
      <c r="P466" s="2435"/>
      <c r="Q466" s="2435"/>
      <c r="R466" s="2435"/>
      <c r="S466" s="2435"/>
      <c r="T466" s="2435"/>
      <c r="U466" s="2435"/>
      <c r="V466" s="2436"/>
      <c r="W466" s="2297">
        <v>0</v>
      </c>
      <c r="X466" s="2298"/>
      <c r="Y466" s="22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4" t="s">
        <v>734</v>
      </c>
      <c r="E467" s="2435"/>
      <c r="F467" s="2435"/>
      <c r="G467" s="2435"/>
      <c r="H467" s="2435"/>
      <c r="I467" s="2435"/>
      <c r="J467" s="2435"/>
      <c r="K467" s="2435"/>
      <c r="L467" s="2435"/>
      <c r="M467" s="2435"/>
      <c r="N467" s="2435"/>
      <c r="O467" s="2435"/>
      <c r="P467" s="2435"/>
      <c r="Q467" s="2435"/>
      <c r="R467" s="2435"/>
      <c r="S467" s="2435"/>
      <c r="T467" s="2435"/>
      <c r="U467" s="2435"/>
      <c r="V467" s="2436"/>
      <c r="W467" s="2297">
        <v>0</v>
      </c>
      <c r="X467" s="2298"/>
      <c r="Y467" s="22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4" t="s">
        <v>946</v>
      </c>
      <c r="E468" s="2435"/>
      <c r="F468" s="2435"/>
      <c r="G468" s="2435"/>
      <c r="H468" s="2435"/>
      <c r="I468" s="2435"/>
      <c r="J468" s="2435"/>
      <c r="K468" s="2435"/>
      <c r="L468" s="2435"/>
      <c r="M468" s="2435"/>
      <c r="N468" s="2435"/>
      <c r="O468" s="2435"/>
      <c r="P468" s="2435"/>
      <c r="Q468" s="2435"/>
      <c r="R468" s="2435"/>
      <c r="S468" s="2435"/>
      <c r="T468" s="2435"/>
      <c r="U468" s="2435"/>
      <c r="V468" s="2436"/>
      <c r="W468" s="2297">
        <v>0</v>
      </c>
      <c r="X468" s="2298"/>
      <c r="Y468" s="22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434" t="s">
        <v>735</v>
      </c>
      <c r="E469" s="2435"/>
      <c r="F469" s="2435"/>
      <c r="G469" s="2435"/>
      <c r="H469" s="2435"/>
      <c r="I469" s="2435"/>
      <c r="J469" s="2435"/>
      <c r="K469" s="2435"/>
      <c r="L469" s="2435"/>
      <c r="M469" s="2435"/>
      <c r="N469" s="2435"/>
      <c r="O469" s="2435"/>
      <c r="P469" s="2435"/>
      <c r="Q469" s="2435"/>
      <c r="R469" s="2435"/>
      <c r="S469" s="2435"/>
      <c r="T469" s="2435"/>
      <c r="U469" s="2435"/>
      <c r="V469" s="2436"/>
      <c r="W469" s="2297">
        <v>0</v>
      </c>
      <c r="X469" s="2298"/>
      <c r="Y469" s="22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434" t="s">
        <v>1115</v>
      </c>
      <c r="E470" s="2435"/>
      <c r="F470" s="2435"/>
      <c r="G470" s="2435"/>
      <c r="H470" s="2435"/>
      <c r="I470" s="2435"/>
      <c r="J470" s="2435"/>
      <c r="K470" s="2435"/>
      <c r="L470" s="2435"/>
      <c r="M470" s="2435"/>
      <c r="N470" s="2435"/>
      <c r="O470" s="2435"/>
      <c r="P470" s="2435"/>
      <c r="Q470" s="2435"/>
      <c r="R470" s="2435"/>
      <c r="S470" s="2435"/>
      <c r="T470" s="2435"/>
      <c r="U470" s="2435"/>
      <c r="V470" s="2436"/>
      <c r="W470" s="2297">
        <v>0</v>
      </c>
      <c r="X470" s="2298"/>
      <c r="Y470" s="22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508" t="s">
        <v>1958</v>
      </c>
      <c r="E471" s="2435"/>
      <c r="F471" s="2435"/>
      <c r="G471" s="2435"/>
      <c r="H471" s="2435"/>
      <c r="I471" s="2435"/>
      <c r="J471" s="2435"/>
      <c r="K471" s="2435"/>
      <c r="L471" s="2435"/>
      <c r="M471" s="2435"/>
      <c r="N471" s="2435"/>
      <c r="O471" s="2435"/>
      <c r="P471" s="2435"/>
      <c r="Q471" s="2435"/>
      <c r="R471" s="2435"/>
      <c r="S471" s="2435"/>
      <c r="T471" s="2435"/>
      <c r="U471" s="2435"/>
      <c r="V471" s="2436"/>
      <c r="W471" s="2297">
        <v>45</v>
      </c>
      <c r="X471" s="2298"/>
      <c r="Y471" s="22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505" t="s">
        <v>2627</v>
      </c>
      <c r="H472" s="2506"/>
      <c r="I472" s="2506"/>
      <c r="J472" s="2506"/>
      <c r="K472" s="2506"/>
      <c r="L472" s="2506"/>
      <c r="M472" s="2506"/>
      <c r="N472" s="2506"/>
      <c r="O472" s="2506"/>
      <c r="P472" s="2506"/>
      <c r="Q472" s="2506"/>
      <c r="R472" s="2506"/>
      <c r="S472" s="2506"/>
      <c r="T472" s="2506"/>
      <c r="U472" s="2506"/>
      <c r="V472" s="2507"/>
      <c r="W472" s="2297">
        <v>30</v>
      </c>
      <c r="X472" s="2298"/>
      <c r="Y472" s="22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337" t="s">
        <v>869</v>
      </c>
      <c r="B478" s="2337"/>
      <c r="C478" s="2337"/>
      <c r="D478" s="2337"/>
      <c r="E478" s="2337"/>
      <c r="F478" s="2337"/>
      <c r="G478" s="2337"/>
      <c r="H478" s="2337"/>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7"/>
      <c r="AD478" s="2337"/>
      <c r="AE478" s="2337"/>
      <c r="AF478" s="2337"/>
      <c r="AG478" s="2337"/>
      <c r="AH478" s="2337"/>
      <c r="AI478" s="2337"/>
      <c r="AJ478" s="2337"/>
      <c r="AK478" s="2337"/>
      <c r="AL478" s="233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338"/>
      <c r="B479" s="2338"/>
      <c r="C479" s="2338"/>
      <c r="D479" s="2338"/>
      <c r="E479" s="2338"/>
      <c r="F479" s="2338"/>
      <c r="G479" s="2338"/>
      <c r="H479" s="2338"/>
      <c r="I479" s="2338"/>
      <c r="J479" s="2338"/>
      <c r="K479" s="2338"/>
      <c r="L479" s="2338"/>
      <c r="M479" s="2338"/>
      <c r="N479" s="2338"/>
      <c r="O479" s="2338"/>
      <c r="P479" s="2338"/>
      <c r="Q479" s="2338"/>
      <c r="R479" s="2338"/>
      <c r="S479" s="2338"/>
      <c r="T479" s="2338"/>
      <c r="U479" s="2338"/>
      <c r="V479" s="2338"/>
      <c r="W479" s="2338"/>
      <c r="X479" s="2338"/>
      <c r="Y479" s="2338"/>
      <c r="Z479" s="2338"/>
      <c r="AA479" s="2338"/>
      <c r="AB479" s="2338"/>
      <c r="AC479" s="2338"/>
      <c r="AD479" s="2338"/>
      <c r="AE479" s="2338"/>
      <c r="AF479" s="2338"/>
      <c r="AG479" s="2338"/>
      <c r="AH479" s="2338"/>
      <c r="AI479" s="2338"/>
      <c r="AJ479" s="2338"/>
      <c r="AK479" s="2338"/>
      <c r="AL479" s="233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429" t="s">
        <v>870</v>
      </c>
      <c r="U483" s="2430"/>
      <c r="V483" s="2430"/>
      <c r="W483" s="2430"/>
      <c r="X483" s="2430"/>
      <c r="Y483" s="2430"/>
      <c r="Z483" s="2430"/>
      <c r="AA483" s="2430"/>
      <c r="AB483" s="2430"/>
      <c r="AC483" s="2430"/>
      <c r="AD483" s="2430"/>
      <c r="AE483" s="2430"/>
      <c r="AF483" s="2430"/>
      <c r="AG483" s="2430"/>
      <c r="AH483" s="24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448" t="s">
        <v>36</v>
      </c>
      <c r="U484" s="2448"/>
      <c r="V484" s="2448"/>
      <c r="W484" s="2448"/>
      <c r="X484" s="2448"/>
      <c r="Y484" s="2448" t="s">
        <v>37</v>
      </c>
      <c r="Z484" s="2448"/>
      <c r="AA484" s="2448"/>
      <c r="AB484" s="2448"/>
      <c r="AC484" s="2448"/>
      <c r="AD484" s="2448" t="s">
        <v>348</v>
      </c>
      <c r="AE484" s="2448"/>
      <c r="AF484" s="2448"/>
      <c r="AG484" s="2448"/>
      <c r="AH484" s="244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448"/>
      <c r="U485" s="2448"/>
      <c r="V485" s="2448"/>
      <c r="W485" s="2448"/>
      <c r="X485" s="2448"/>
      <c r="Y485" s="2448"/>
      <c r="Z485" s="2448"/>
      <c r="AA485" s="2448"/>
      <c r="AB485" s="2448"/>
      <c r="AC485" s="2448"/>
      <c r="AD485" s="2448"/>
      <c r="AE485" s="2448"/>
      <c r="AF485" s="2448"/>
      <c r="AG485" s="2448"/>
      <c r="AH485" s="244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2422" t="s">
        <v>626</v>
      </c>
      <c r="U486" s="2422"/>
      <c r="V486" s="2422"/>
      <c r="W486" s="2422"/>
      <c r="X486" s="2422"/>
      <c r="Y486" s="2422" t="s">
        <v>626</v>
      </c>
      <c r="Z486" s="2422"/>
      <c r="AA486" s="2422"/>
      <c r="AB486" s="2422"/>
      <c r="AC486" s="2422"/>
      <c r="AD486" s="2422" t="s">
        <v>626</v>
      </c>
      <c r="AE486" s="2422"/>
      <c r="AF486" s="2422"/>
      <c r="AG486" s="2422"/>
      <c r="AH486" s="24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2422" t="s">
        <v>626</v>
      </c>
      <c r="U487" s="2422"/>
      <c r="V487" s="2422"/>
      <c r="W487" s="2422"/>
      <c r="X487" s="2422"/>
      <c r="Y487" s="2422" t="s">
        <v>626</v>
      </c>
      <c r="Z487" s="2422"/>
      <c r="AA487" s="2422"/>
      <c r="AB487" s="2422"/>
      <c r="AC487" s="2422"/>
      <c r="AD487" s="2422" t="s">
        <v>626</v>
      </c>
      <c r="AE487" s="2422"/>
      <c r="AF487" s="2422"/>
      <c r="AG487" s="2422"/>
      <c r="AH487" s="24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2422" t="s">
        <v>626</v>
      </c>
      <c r="U488" s="2422"/>
      <c r="V488" s="2422"/>
      <c r="W488" s="2422"/>
      <c r="X488" s="2422"/>
      <c r="Y488" s="2422" t="s">
        <v>626</v>
      </c>
      <c r="Z488" s="2422"/>
      <c r="AA488" s="2422"/>
      <c r="AB488" s="2422"/>
      <c r="AC488" s="2422"/>
      <c r="AD488" s="2422" t="s">
        <v>626</v>
      </c>
      <c r="AE488" s="2422"/>
      <c r="AF488" s="2422"/>
      <c r="AG488" s="2422"/>
      <c r="AH488" s="24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2422" t="s">
        <v>626</v>
      </c>
      <c r="U489" s="2422"/>
      <c r="V489" s="2422"/>
      <c r="W489" s="2422"/>
      <c r="X489" s="2422"/>
      <c r="Y489" s="2422" t="s">
        <v>626</v>
      </c>
      <c r="Z489" s="2422"/>
      <c r="AA489" s="2422"/>
      <c r="AB489" s="2422"/>
      <c r="AC489" s="2422"/>
      <c r="AD489" s="2422" t="s">
        <v>626</v>
      </c>
      <c r="AE489" s="2422"/>
      <c r="AF489" s="2422"/>
      <c r="AG489" s="2422"/>
      <c r="AH489" s="24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2422" t="s">
        <v>626</v>
      </c>
      <c r="U490" s="2422"/>
      <c r="V490" s="2422"/>
      <c r="W490" s="2422"/>
      <c r="X490" s="2422"/>
      <c r="Y490" s="2422" t="s">
        <v>626</v>
      </c>
      <c r="Z490" s="2422"/>
      <c r="AA490" s="2422"/>
      <c r="AB490" s="2422"/>
      <c r="AC490" s="2422"/>
      <c r="AD490" s="2422" t="s">
        <v>626</v>
      </c>
      <c r="AE490" s="2422"/>
      <c r="AF490" s="2422"/>
      <c r="AG490" s="2422"/>
      <c r="AH490" s="24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2422" t="s">
        <v>626</v>
      </c>
      <c r="U491" s="2422"/>
      <c r="V491" s="2422"/>
      <c r="W491" s="2422"/>
      <c r="X491" s="2422"/>
      <c r="Y491" s="2422" t="s">
        <v>626</v>
      </c>
      <c r="Z491" s="2422"/>
      <c r="AA491" s="2422"/>
      <c r="AB491" s="2422"/>
      <c r="AC491" s="2422"/>
      <c r="AD491" s="2422" t="s">
        <v>626</v>
      </c>
      <c r="AE491" s="2422"/>
      <c r="AF491" s="2422"/>
      <c r="AG491" s="2422"/>
      <c r="AH491" s="2422"/>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2422">
        <v>44740</v>
      </c>
      <c r="U492" s="2422"/>
      <c r="V492" s="2422"/>
      <c r="W492" s="2422"/>
      <c r="X492" s="2422"/>
      <c r="Y492" s="2422">
        <v>44750</v>
      </c>
      <c r="Z492" s="2422"/>
      <c r="AA492" s="2422"/>
      <c r="AB492" s="2422"/>
      <c r="AC492" s="2422"/>
      <c r="AD492" s="2422"/>
      <c r="AE492" s="2422"/>
      <c r="AF492" s="2422"/>
      <c r="AG492" s="2422"/>
      <c r="AH492" s="242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2422" t="s">
        <v>626</v>
      </c>
      <c r="U493" s="2422"/>
      <c r="V493" s="2422"/>
      <c r="W493" s="2422"/>
      <c r="X493" s="2422"/>
      <c r="Y493" s="2422" t="s">
        <v>626</v>
      </c>
      <c r="Z493" s="2422"/>
      <c r="AA493" s="2422"/>
      <c r="AB493" s="2422"/>
      <c r="AC493" s="2422"/>
      <c r="AD493" s="2422" t="s">
        <v>626</v>
      </c>
      <c r="AE493" s="2422"/>
      <c r="AF493" s="2422"/>
      <c r="AG493" s="2422"/>
      <c r="AH493" s="24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2422">
        <v>44740</v>
      </c>
      <c r="U494" s="2422"/>
      <c r="V494" s="2422"/>
      <c r="W494" s="2422"/>
      <c r="X494" s="2422"/>
      <c r="Y494" s="2422">
        <v>44750</v>
      </c>
      <c r="Z494" s="2422"/>
      <c r="AA494" s="2422"/>
      <c r="AB494" s="2422"/>
      <c r="AC494" s="2422"/>
      <c r="AD494" s="2422">
        <v>0</v>
      </c>
      <c r="AE494" s="2422"/>
      <c r="AF494" s="2422"/>
      <c r="AG494" s="2422"/>
      <c r="AH494" s="24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1089</v>
      </c>
      <c r="F495" s="80"/>
      <c r="G495" s="80"/>
      <c r="H495" s="80"/>
      <c r="I495" s="80"/>
      <c r="J495" s="80"/>
      <c r="K495" s="80"/>
      <c r="L495" s="80"/>
      <c r="M495" s="80"/>
      <c r="N495" s="80"/>
      <c r="O495" s="80"/>
      <c r="P495" s="80"/>
      <c r="Q495" s="80"/>
      <c r="R495" s="80"/>
      <c r="S495" s="80"/>
      <c r="T495" s="2422" t="s">
        <v>626</v>
      </c>
      <c r="U495" s="2422"/>
      <c r="V495" s="2422"/>
      <c r="W495" s="2422"/>
      <c r="X495" s="2422"/>
      <c r="Y495" s="2422" t="s">
        <v>2673</v>
      </c>
      <c r="Z495" s="2422"/>
      <c r="AA495" s="2422"/>
      <c r="AB495" s="2422"/>
      <c r="AC495" s="2422"/>
      <c r="AD495" s="2422" t="s">
        <v>626</v>
      </c>
      <c r="AE495" s="2422"/>
      <c r="AF495" s="2422"/>
      <c r="AG495" s="2422"/>
      <c r="AH495" s="24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455" t="s">
        <v>414</v>
      </c>
      <c r="R497" s="2456"/>
      <c r="S497" s="2456"/>
      <c r="T497" s="2456"/>
      <c r="U497" s="2456"/>
      <c r="V497" s="2456"/>
      <c r="W497" s="2456"/>
      <c r="X497" s="2456"/>
      <c r="Y497" s="2456"/>
      <c r="Z497" s="2456"/>
      <c r="AA497" s="2456"/>
      <c r="AB497" s="2456"/>
      <c r="AC497" s="2456"/>
      <c r="AD497" s="2456"/>
      <c r="AE497" s="2456"/>
      <c r="AF497" s="2456"/>
      <c r="AG497" s="2456"/>
      <c r="AH497" s="2456"/>
      <c r="AI497" s="2456"/>
      <c r="AJ497" s="2456"/>
      <c r="AK497" s="24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326" t="s">
        <v>2628</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23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326" t="s">
        <v>2629</v>
      </c>
      <c r="R499" s="1993"/>
      <c r="S499" s="1993"/>
      <c r="T499" s="1993"/>
      <c r="U499" s="1993"/>
      <c r="V499" s="1993"/>
      <c r="W499" s="1993"/>
      <c r="X499" s="1993"/>
      <c r="Y499" s="1993"/>
      <c r="Z499" s="1993"/>
      <c r="AA499" s="1993"/>
      <c r="AB499" s="1993"/>
      <c r="AC499" s="1993"/>
      <c r="AD499" s="1993"/>
      <c r="AE499" s="1993"/>
      <c r="AF499" s="1993"/>
      <c r="AG499" s="1993"/>
      <c r="AH499" s="1993"/>
      <c r="AI499" s="1993"/>
      <c r="AJ499" s="1993"/>
      <c r="AK499" s="232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326" t="s">
        <v>2629</v>
      </c>
      <c r="R500" s="1993"/>
      <c r="S500" s="1993"/>
      <c r="T500" s="1993"/>
      <c r="U500" s="1993"/>
      <c r="V500" s="1993"/>
      <c r="W500" s="1993"/>
      <c r="X500" s="1993"/>
      <c r="Y500" s="1993"/>
      <c r="Z500" s="1993"/>
      <c r="AA500" s="1993"/>
      <c r="AB500" s="1993"/>
      <c r="AC500" s="1993"/>
      <c r="AD500" s="1993"/>
      <c r="AE500" s="1993"/>
      <c r="AF500" s="1993"/>
      <c r="AG500" s="1993"/>
      <c r="AH500" s="1993"/>
      <c r="AI500" s="1993"/>
      <c r="AJ500" s="1993"/>
      <c r="AK500" s="232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458" t="s">
        <v>418</v>
      </c>
      <c r="C501" s="2459"/>
      <c r="D501" s="2459"/>
      <c r="E501" s="2459"/>
      <c r="F501" s="2459"/>
      <c r="G501" s="2459"/>
      <c r="H501" s="2459"/>
      <c r="I501" s="2459"/>
      <c r="J501" s="2459"/>
      <c r="K501" s="2459"/>
      <c r="L501" s="2459"/>
      <c r="M501" s="2459"/>
      <c r="N501" s="2459"/>
      <c r="O501" s="2459"/>
      <c r="P501" s="2460"/>
      <c r="Q501" s="2475" t="s">
        <v>706</v>
      </c>
      <c r="R501" s="2476"/>
      <c r="S501" s="2244" t="s">
        <v>171</v>
      </c>
      <c r="T501" s="2245"/>
      <c r="U501" s="2245"/>
      <c r="V501" s="2245"/>
      <c r="W501" s="2245"/>
      <c r="X501" s="2245"/>
      <c r="Y501" s="2245"/>
      <c r="Z501" s="2245"/>
      <c r="AA501" s="2245"/>
      <c r="AB501" s="2245"/>
      <c r="AC501" s="2245"/>
      <c r="AD501" s="2245"/>
      <c r="AE501" s="2245"/>
      <c r="AF501" s="2245"/>
      <c r="AG501" s="2245"/>
      <c r="AH501" s="2245"/>
      <c r="AI501" s="2245"/>
      <c r="AJ501" s="2245"/>
      <c r="AK501" s="22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61"/>
      <c r="C502" s="2462"/>
      <c r="D502" s="2462"/>
      <c r="E502" s="2462"/>
      <c r="F502" s="2462"/>
      <c r="G502" s="2462"/>
      <c r="H502" s="2462"/>
      <c r="I502" s="2462"/>
      <c r="J502" s="2462"/>
      <c r="K502" s="2462"/>
      <c r="L502" s="2462"/>
      <c r="M502" s="2462"/>
      <c r="N502" s="2462"/>
      <c r="O502" s="2462"/>
      <c r="P502" s="2463"/>
      <c r="Q502" s="2477"/>
      <c r="R502" s="2478"/>
      <c r="S502" s="2247"/>
      <c r="T502" s="2248"/>
      <c r="U502" s="2248"/>
      <c r="V502" s="2248"/>
      <c r="W502" s="2248"/>
      <c r="X502" s="2248"/>
      <c r="Y502" s="2248"/>
      <c r="Z502" s="2248"/>
      <c r="AA502" s="2248"/>
      <c r="AB502" s="2248"/>
      <c r="AC502" s="2248"/>
      <c r="AD502" s="2248"/>
      <c r="AE502" s="2248"/>
      <c r="AF502" s="2248"/>
      <c r="AG502" s="2248"/>
      <c r="AH502" s="2248"/>
      <c r="AI502" s="2248"/>
      <c r="AJ502" s="2248"/>
      <c r="AK502" s="22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1978</v>
      </c>
      <c r="C503" s="1440"/>
      <c r="D503" s="1440"/>
      <c r="E503" s="1440"/>
      <c r="F503" s="1440"/>
      <c r="G503" s="1440"/>
      <c r="H503" s="1440"/>
      <c r="I503" s="1440"/>
      <c r="J503" s="1440"/>
      <c r="K503" s="1440"/>
      <c r="L503" s="1440"/>
      <c r="M503" s="1440"/>
      <c r="N503" s="1440"/>
      <c r="O503" s="1440"/>
      <c r="P503" s="1440"/>
      <c r="Q503" s="2515" t="s">
        <v>706</v>
      </c>
      <c r="R503" s="2516"/>
      <c r="S503" s="2516"/>
      <c r="T503" s="2516"/>
      <c r="U503" s="2516"/>
      <c r="V503" s="2516"/>
      <c r="W503" s="2516"/>
      <c r="X503" s="2516"/>
      <c r="Y503" s="2516"/>
      <c r="Z503" s="2516"/>
      <c r="AA503" s="2516"/>
      <c r="AB503" s="2516"/>
      <c r="AC503" s="2516"/>
      <c r="AD503" s="2516"/>
      <c r="AE503" s="2516"/>
      <c r="AF503" s="2516"/>
      <c r="AG503" s="2516"/>
      <c r="AH503" s="2516"/>
      <c r="AI503" s="2516"/>
      <c r="AJ503" s="2516"/>
      <c r="AK503" s="25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26" t="s">
        <v>2630</v>
      </c>
      <c r="R504" s="1993"/>
      <c r="S504" s="1993"/>
      <c r="T504" s="1993"/>
      <c r="U504" s="1993"/>
      <c r="V504" s="1993"/>
      <c r="W504" s="1993"/>
      <c r="X504" s="1993"/>
      <c r="Y504" s="1993"/>
      <c r="Z504" s="1993"/>
      <c r="AA504" s="1993"/>
      <c r="AB504" s="1993"/>
      <c r="AC504" s="1993"/>
      <c r="AD504" s="1993"/>
      <c r="AE504" s="1993"/>
      <c r="AF504" s="1993"/>
      <c r="AG504" s="1993"/>
      <c r="AH504" s="1993"/>
      <c r="AI504" s="1993"/>
      <c r="AJ504" s="1993"/>
      <c r="AK504" s="23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326" t="s">
        <v>2631</v>
      </c>
      <c r="R505" s="1993"/>
      <c r="S505" s="1993"/>
      <c r="T505" s="1993"/>
      <c r="U505" s="1993"/>
      <c r="V505" s="1993"/>
      <c r="W505" s="1993"/>
      <c r="X505" s="1993"/>
      <c r="Y505" s="1993"/>
      <c r="Z505" s="1993"/>
      <c r="AA505" s="1993"/>
      <c r="AB505" s="1993"/>
      <c r="AC505" s="1993"/>
      <c r="AD505" s="1993"/>
      <c r="AE505" s="1993"/>
      <c r="AF505" s="1993"/>
      <c r="AG505" s="1993"/>
      <c r="AH505" s="1993"/>
      <c r="AI505" s="1993"/>
      <c r="AJ505" s="1993"/>
      <c r="AK505" s="23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1975</v>
      </c>
      <c r="C506" s="77"/>
      <c r="D506" s="77"/>
      <c r="E506" s="77"/>
      <c r="F506" s="77"/>
      <c r="G506" s="77"/>
      <c r="H506" s="77"/>
      <c r="I506" s="77"/>
      <c r="J506" s="77"/>
      <c r="K506" s="77"/>
      <c r="L506" s="77"/>
      <c r="M506" s="77"/>
      <c r="N506" s="77"/>
      <c r="O506" s="77"/>
      <c r="P506" s="77"/>
      <c r="Q506" s="2326">
        <v>441</v>
      </c>
      <c r="R506" s="1993"/>
      <c r="S506" s="1993"/>
      <c r="T506" s="1993"/>
      <c r="U506" s="1993"/>
      <c r="V506" s="1993"/>
      <c r="W506" s="1993"/>
      <c r="X506" s="1993"/>
      <c r="Y506" s="1993"/>
      <c r="Z506" s="1993"/>
      <c r="AA506" s="1993"/>
      <c r="AB506" s="1993"/>
      <c r="AC506" s="1993"/>
      <c r="AD506" s="1993"/>
      <c r="AE506" s="1993"/>
      <c r="AF506" s="1993"/>
      <c r="AG506" s="1993"/>
      <c r="AH506" s="1993"/>
      <c r="AI506" s="1993"/>
      <c r="AJ506" s="1993"/>
      <c r="AK506" s="23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1976</v>
      </c>
      <c r="C507" s="77"/>
      <c r="D507" s="77"/>
      <c r="E507" s="77"/>
      <c r="F507" s="77"/>
      <c r="G507" s="77"/>
      <c r="H507" s="77"/>
      <c r="I507" s="77"/>
      <c r="J507" s="77"/>
      <c r="K507" s="77"/>
      <c r="L507" s="77"/>
      <c r="M507" s="1999">
        <v>155</v>
      </c>
      <c r="N507" s="2000"/>
      <c r="O507" s="2000"/>
      <c r="P507" s="2001"/>
      <c r="Q507" s="1470" t="s">
        <v>1977</v>
      </c>
      <c r="R507" s="1471"/>
      <c r="S507" s="1471"/>
      <c r="T507" s="1471"/>
      <c r="U507" s="1471"/>
      <c r="V507" s="1471"/>
      <c r="W507" s="1471"/>
      <c r="X507" s="1471"/>
      <c r="Y507" s="1471"/>
      <c r="Z507" s="1471"/>
      <c r="AA507" s="1471"/>
      <c r="AB507" s="1471"/>
      <c r="AC507" s="1471"/>
      <c r="AD507" s="1471"/>
      <c r="AE507" s="1471"/>
      <c r="AF507" s="1471"/>
      <c r="AG507" s="1471"/>
      <c r="AH507" s="1999">
        <v>286</v>
      </c>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5" t="s">
        <v>422</v>
      </c>
      <c r="AD511" s="2456"/>
      <c r="AE511" s="2456"/>
      <c r="AF511" s="2456"/>
      <c r="AG511" s="2456"/>
      <c r="AH511" s="2456"/>
      <c r="AI511" s="2456"/>
      <c r="AJ511" s="2456"/>
      <c r="AK511" s="24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9" t="s">
        <v>423</v>
      </c>
      <c r="AD512" s="2430"/>
      <c r="AE512" s="2430"/>
      <c r="AF512" s="2430"/>
      <c r="AG512" s="82" t="s">
        <v>424</v>
      </c>
      <c r="AH512" s="2430" t="s">
        <v>425</v>
      </c>
      <c r="AI512" s="2430"/>
      <c r="AJ512" s="2430"/>
      <c r="AK512" s="24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437" t="s">
        <v>426</v>
      </c>
      <c r="C513" s="2438"/>
      <c r="D513" s="2438"/>
      <c r="E513" s="2438"/>
      <c r="F513" s="2438"/>
      <c r="G513" s="2438"/>
      <c r="H513" s="2439"/>
      <c r="I513" s="72" t="s">
        <v>427</v>
      </c>
      <c r="J513" s="72"/>
      <c r="K513" s="72"/>
      <c r="L513" s="72"/>
      <c r="M513" s="72"/>
      <c r="N513" s="72"/>
      <c r="O513" s="72"/>
      <c r="P513" s="72"/>
      <c r="Q513" s="72"/>
      <c r="R513" s="72"/>
      <c r="S513" s="72"/>
      <c r="T513" s="72"/>
      <c r="U513" s="72"/>
      <c r="V513" s="72"/>
      <c r="W513" s="72"/>
      <c r="X513" s="25"/>
      <c r="Y513" s="25"/>
      <c r="AC513" s="2423" t="s">
        <v>626</v>
      </c>
      <c r="AD513" s="2301"/>
      <c r="AE513" s="2301"/>
      <c r="AF513" s="2301"/>
      <c r="AG513" s="75" t="s">
        <v>424</v>
      </c>
      <c r="AH513" s="2157">
        <v>0</v>
      </c>
      <c r="AI513" s="2157"/>
      <c r="AJ513" s="2157"/>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440"/>
      <c r="C514" s="2441"/>
      <c r="D514" s="2441"/>
      <c r="E514" s="2441"/>
      <c r="F514" s="2441"/>
      <c r="G514" s="2441"/>
      <c r="H514" s="2442"/>
      <c r="I514" s="80" t="s">
        <v>428</v>
      </c>
      <c r="J514" s="80"/>
      <c r="K514" s="80"/>
      <c r="L514" s="80"/>
      <c r="M514" s="80"/>
      <c r="N514" s="80"/>
      <c r="O514" s="80"/>
      <c r="P514" s="80"/>
      <c r="Q514" s="80"/>
      <c r="R514" s="80"/>
      <c r="S514" s="80"/>
      <c r="T514" s="80"/>
      <c r="U514" s="80"/>
      <c r="V514" s="80"/>
      <c r="W514" s="80"/>
      <c r="X514" s="80"/>
      <c r="Y514" s="80"/>
      <c r="Z514" s="80"/>
      <c r="AA514" s="80"/>
      <c r="AB514" s="80"/>
      <c r="AC514" s="2423">
        <v>12</v>
      </c>
      <c r="AD514" s="2301"/>
      <c r="AE514" s="2301"/>
      <c r="AF514" s="2301"/>
      <c r="AG514" s="65" t="s">
        <v>424</v>
      </c>
      <c r="AH514" s="2157">
        <v>2022</v>
      </c>
      <c r="AI514" s="2157"/>
      <c r="AJ514" s="2157"/>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437" t="s">
        <v>429</v>
      </c>
      <c r="C515" s="2438"/>
      <c r="D515" s="2438"/>
      <c r="E515" s="2438"/>
      <c r="F515" s="2438"/>
      <c r="G515" s="2438"/>
      <c r="H515" s="2439"/>
      <c r="I515" s="72" t="s">
        <v>430</v>
      </c>
      <c r="J515" s="72"/>
      <c r="K515" s="72"/>
      <c r="L515" s="72"/>
      <c r="M515" s="72"/>
      <c r="N515" s="72"/>
      <c r="O515" s="72"/>
      <c r="P515" s="72"/>
      <c r="Q515" s="72"/>
      <c r="R515" s="72"/>
      <c r="S515" s="72"/>
      <c r="T515" s="72"/>
      <c r="U515" s="72"/>
      <c r="V515" s="72"/>
      <c r="W515" s="72"/>
      <c r="X515" s="25"/>
      <c r="Y515" s="25"/>
      <c r="AC515" s="2423" t="s">
        <v>626</v>
      </c>
      <c r="AD515" s="2301"/>
      <c r="AE515" s="2301"/>
      <c r="AF515" s="2301"/>
      <c r="AG515" s="75" t="s">
        <v>424</v>
      </c>
      <c r="AH515" s="2157"/>
      <c r="AI515" s="2157"/>
      <c r="AJ515" s="2157"/>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440"/>
      <c r="C516" s="2441"/>
      <c r="D516" s="2441"/>
      <c r="E516" s="2441"/>
      <c r="F516" s="2441"/>
      <c r="G516" s="2441"/>
      <c r="H516" s="2442"/>
      <c r="I516" s="25" t="s">
        <v>431</v>
      </c>
      <c r="J516" s="25"/>
      <c r="K516" s="25"/>
      <c r="L516" s="25"/>
      <c r="M516" s="25"/>
      <c r="N516" s="25"/>
      <c r="O516" s="25"/>
      <c r="P516" s="25"/>
      <c r="Q516" s="25"/>
      <c r="R516" s="25"/>
      <c r="S516" s="25"/>
      <c r="T516" s="25"/>
      <c r="U516" s="25"/>
      <c r="V516" s="25"/>
      <c r="W516" s="25"/>
      <c r="X516" s="25"/>
      <c r="Y516" s="25"/>
      <c r="AC516" s="2423">
        <v>7</v>
      </c>
      <c r="AD516" s="2301"/>
      <c r="AE516" s="2301"/>
      <c r="AF516" s="2301"/>
      <c r="AG516" s="75" t="s">
        <v>424</v>
      </c>
      <c r="AH516" s="2157">
        <v>2022</v>
      </c>
      <c r="AI516" s="2157"/>
      <c r="AJ516" s="2157"/>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0"/>
      <c r="C517" s="2441"/>
      <c r="D517" s="2441"/>
      <c r="E517" s="2441"/>
      <c r="F517" s="2441"/>
      <c r="G517" s="2441"/>
      <c r="H517" s="2442"/>
      <c r="I517" s="25" t="s">
        <v>432</v>
      </c>
      <c r="J517" s="25"/>
      <c r="K517" s="25"/>
      <c r="L517" s="25"/>
      <c r="M517" s="25"/>
      <c r="N517" s="25"/>
      <c r="O517" s="25"/>
      <c r="P517" s="25"/>
      <c r="Q517" s="25"/>
      <c r="R517" s="25"/>
      <c r="S517" s="25"/>
      <c r="T517" s="25"/>
      <c r="U517" s="25"/>
      <c r="V517" s="25"/>
      <c r="W517" s="25"/>
      <c r="X517" s="25"/>
      <c r="Y517" s="25"/>
      <c r="AC517" s="2423">
        <v>7</v>
      </c>
      <c r="AD517" s="2301"/>
      <c r="AE517" s="2301"/>
      <c r="AF517" s="2301"/>
      <c r="AG517" s="75" t="s">
        <v>424</v>
      </c>
      <c r="AH517" s="2157">
        <v>2022</v>
      </c>
      <c r="AI517" s="2157"/>
      <c r="AJ517" s="2157"/>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0"/>
      <c r="C518" s="2441"/>
      <c r="D518" s="2441"/>
      <c r="E518" s="2441"/>
      <c r="F518" s="2441"/>
      <c r="G518" s="2441"/>
      <c r="H518" s="2442"/>
      <c r="I518" s="25" t="s">
        <v>433</v>
      </c>
      <c r="J518" s="25"/>
      <c r="K518" s="25"/>
      <c r="L518" s="25"/>
      <c r="M518" s="25"/>
      <c r="N518" s="25"/>
      <c r="O518" s="25"/>
      <c r="P518" s="25"/>
      <c r="Q518" s="25"/>
      <c r="R518" s="25"/>
      <c r="S518" s="25"/>
      <c r="T518" s="25"/>
      <c r="U518" s="25"/>
      <c r="V518" s="25"/>
      <c r="W518" s="25"/>
      <c r="X518" s="25"/>
      <c r="Y518" s="25"/>
      <c r="AC518" s="2423">
        <v>12</v>
      </c>
      <c r="AD518" s="2301"/>
      <c r="AE518" s="2301"/>
      <c r="AF518" s="2301"/>
      <c r="AG518" s="75" t="s">
        <v>424</v>
      </c>
      <c r="AH518" s="2157">
        <v>2022</v>
      </c>
      <c r="AI518" s="2157"/>
      <c r="AJ518" s="2157"/>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440"/>
      <c r="C519" s="2441"/>
      <c r="D519" s="2441"/>
      <c r="E519" s="2441"/>
      <c r="F519" s="2441"/>
      <c r="G519" s="2441"/>
      <c r="H519" s="2442"/>
      <c r="I519" s="177" t="s">
        <v>434</v>
      </c>
      <c r="J519" s="25"/>
      <c r="K519" s="25"/>
      <c r="L519" s="25"/>
      <c r="M519" s="25"/>
      <c r="N519" s="25"/>
      <c r="O519" s="25"/>
      <c r="P519" s="25"/>
      <c r="Q519" s="25"/>
      <c r="R519" s="25"/>
      <c r="S519" s="25"/>
      <c r="T519" s="25"/>
      <c r="U519" s="25"/>
      <c r="V519" s="25"/>
      <c r="W519" s="25"/>
      <c r="X519" s="25"/>
      <c r="Y519" s="25"/>
      <c r="AC519" s="2142">
        <v>12</v>
      </c>
      <c r="AD519" s="2143"/>
      <c r="AE519" s="2143"/>
      <c r="AF519" s="2143"/>
      <c r="AG519" s="75" t="s">
        <v>424</v>
      </c>
      <c r="AH519" s="2157">
        <v>2022</v>
      </c>
      <c r="AI519" s="2157"/>
      <c r="AJ519" s="2157"/>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440"/>
      <c r="C520" s="2441"/>
      <c r="D520" s="2441"/>
      <c r="E520" s="2441"/>
      <c r="F520" s="2441"/>
      <c r="G520" s="2441"/>
      <c r="H520" s="2442"/>
      <c r="I520" s="1473" t="s">
        <v>175</v>
      </c>
      <c r="J520" s="80"/>
      <c r="K520" s="80"/>
      <c r="L520" s="2491" t="s">
        <v>2674</v>
      </c>
      <c r="M520" s="2490"/>
      <c r="N520" s="2490"/>
      <c r="O520" s="2490"/>
      <c r="P520" s="2490"/>
      <c r="Q520" s="2490"/>
      <c r="R520" s="2490"/>
      <c r="S520" s="2490"/>
      <c r="T520" s="2490"/>
      <c r="U520" s="2490"/>
      <c r="V520" s="2490"/>
      <c r="W520" s="2490"/>
      <c r="X520" s="2490"/>
      <c r="Y520" s="2490"/>
      <c r="Z520" s="2490"/>
      <c r="AA520" s="2490"/>
      <c r="AB520" s="2492"/>
      <c r="AC520" s="2423">
        <v>7</v>
      </c>
      <c r="AD520" s="2301"/>
      <c r="AE520" s="2301"/>
      <c r="AF520" s="2301"/>
      <c r="AG520" s="1444" t="s">
        <v>424</v>
      </c>
      <c r="AH520" s="2157">
        <v>2022</v>
      </c>
      <c r="AI520" s="2157"/>
      <c r="AJ520" s="2157"/>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480" t="s">
        <v>706</v>
      </c>
      <c r="AD521" s="2480"/>
      <c r="AE521" s="2480"/>
      <c r="AF521" s="2480"/>
      <c r="AG521" s="1687"/>
      <c r="AH521" s="2519"/>
      <c r="AI521" s="2519"/>
      <c r="AJ521" s="2519"/>
      <c r="AK521" s="252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42"/>
      <c r="AD522" s="2143"/>
      <c r="AE522" s="2143"/>
      <c r="AF522" s="2144"/>
      <c r="AG522" s="1687"/>
      <c r="AH522" s="2519"/>
      <c r="AI522" s="2519"/>
      <c r="AJ522" s="2519"/>
      <c r="AK522" s="252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21">
        <v>0.3</v>
      </c>
      <c r="AD524" s="2522"/>
      <c r="AE524" s="2522"/>
      <c r="AF524" s="2523"/>
      <c r="AG524" s="1688"/>
      <c r="AH524" s="2524"/>
      <c r="AI524" s="2524"/>
      <c r="AJ524" s="2524"/>
      <c r="AK524" s="25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87" t="s">
        <v>423</v>
      </c>
      <c r="AD525" s="2488"/>
      <c r="AE525" s="2488"/>
      <c r="AF525" s="2488"/>
      <c r="AG525" s="1688" t="s">
        <v>424</v>
      </c>
      <c r="AH525" s="2488" t="s">
        <v>425</v>
      </c>
      <c r="AI525" s="2488"/>
      <c r="AJ525" s="2488"/>
      <c r="AK525" s="248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7" t="s">
        <v>435</v>
      </c>
      <c r="C526" s="2438"/>
      <c r="D526" s="2438"/>
      <c r="E526" s="2438"/>
      <c r="F526" s="2438"/>
      <c r="G526" s="2438"/>
      <c r="H526" s="2439"/>
      <c r="I526" s="72" t="s">
        <v>436</v>
      </c>
      <c r="J526" s="72"/>
      <c r="K526" s="72"/>
      <c r="L526" s="72"/>
      <c r="M526" s="72"/>
      <c r="N526" s="72"/>
      <c r="O526" s="72"/>
      <c r="P526" s="72"/>
      <c r="Q526" s="72"/>
      <c r="R526" s="72"/>
      <c r="S526" s="72"/>
      <c r="T526" s="72"/>
      <c r="U526" s="72"/>
      <c r="V526" s="72"/>
      <c r="W526" s="72"/>
      <c r="X526" s="25"/>
      <c r="Y526" s="25"/>
      <c r="AC526" s="2423">
        <v>2</v>
      </c>
      <c r="AD526" s="2301"/>
      <c r="AE526" s="2301"/>
      <c r="AF526" s="2301"/>
      <c r="AG526" s="75" t="s">
        <v>424</v>
      </c>
      <c r="AH526" s="2157">
        <v>2022</v>
      </c>
      <c r="AI526" s="2157"/>
      <c r="AJ526" s="2157"/>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40"/>
      <c r="C527" s="2441"/>
      <c r="D527" s="2441"/>
      <c r="E527" s="2441"/>
      <c r="F527" s="2441"/>
      <c r="G527" s="2441"/>
      <c r="H527" s="2442"/>
      <c r="I527" s="25" t="s">
        <v>437</v>
      </c>
      <c r="J527" s="25"/>
      <c r="K527" s="25"/>
      <c r="L527" s="25"/>
      <c r="M527" s="25"/>
      <c r="N527" s="25"/>
      <c r="O527" s="25"/>
      <c r="P527" s="25"/>
      <c r="Q527" s="25"/>
      <c r="R527" s="25"/>
      <c r="S527" s="25"/>
      <c r="T527" s="25"/>
      <c r="U527" s="25"/>
      <c r="V527" s="25"/>
      <c r="W527" s="25"/>
      <c r="X527" s="25"/>
      <c r="Y527" s="25"/>
      <c r="AC527" s="2423">
        <v>3</v>
      </c>
      <c r="AD527" s="2301"/>
      <c r="AE527" s="2301"/>
      <c r="AF527" s="2301"/>
      <c r="AG527" s="75" t="s">
        <v>424</v>
      </c>
      <c r="AH527" s="2157">
        <v>2022</v>
      </c>
      <c r="AI527" s="2157"/>
      <c r="AJ527" s="2157"/>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440"/>
      <c r="C528" s="2441"/>
      <c r="D528" s="2441"/>
      <c r="E528" s="2441"/>
      <c r="F528" s="2441"/>
      <c r="G528" s="2441"/>
      <c r="H528" s="2442"/>
      <c r="I528" s="80" t="s">
        <v>438</v>
      </c>
      <c r="J528" s="80"/>
      <c r="K528" s="80"/>
      <c r="L528" s="80"/>
      <c r="M528" s="80"/>
      <c r="N528" s="80"/>
      <c r="O528" s="80"/>
      <c r="P528" s="80"/>
      <c r="Q528" s="80"/>
      <c r="R528" s="80"/>
      <c r="S528" s="80"/>
      <c r="T528" s="80"/>
      <c r="U528" s="80"/>
      <c r="V528" s="80"/>
      <c r="W528" s="80"/>
      <c r="X528" s="80"/>
      <c r="Y528" s="80"/>
      <c r="Z528" s="80"/>
      <c r="AA528" s="80"/>
      <c r="AB528" s="80"/>
      <c r="AC528" s="2423">
        <v>12</v>
      </c>
      <c r="AD528" s="2301"/>
      <c r="AE528" s="2301"/>
      <c r="AF528" s="2301"/>
      <c r="AG528" s="65" t="s">
        <v>424</v>
      </c>
      <c r="AH528" s="2157">
        <v>2022</v>
      </c>
      <c r="AI528" s="2157"/>
      <c r="AJ528" s="2157"/>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437" t="s">
        <v>439</v>
      </c>
      <c r="C529" s="2438"/>
      <c r="D529" s="2438"/>
      <c r="E529" s="2438"/>
      <c r="F529" s="2438"/>
      <c r="G529" s="2438"/>
      <c r="H529" s="2439"/>
      <c r="I529" s="72" t="s">
        <v>436</v>
      </c>
      <c r="J529" s="72"/>
      <c r="K529" s="72"/>
      <c r="L529" s="72"/>
      <c r="M529" s="72"/>
      <c r="N529" s="72"/>
      <c r="O529" s="72"/>
      <c r="P529" s="72"/>
      <c r="Q529" s="72"/>
      <c r="R529" s="72"/>
      <c r="S529" s="72"/>
      <c r="T529" s="72"/>
      <c r="U529" s="72"/>
      <c r="V529" s="72"/>
      <c r="W529" s="72"/>
      <c r="X529" s="72"/>
      <c r="Y529" s="72"/>
      <c r="Z529" s="72"/>
      <c r="AA529" s="72"/>
      <c r="AB529" s="72"/>
      <c r="AC529" s="2142">
        <v>2</v>
      </c>
      <c r="AD529" s="2143"/>
      <c r="AE529" s="2143"/>
      <c r="AF529" s="2143"/>
      <c r="AG529" s="196" t="s">
        <v>424</v>
      </c>
      <c r="AH529" s="2157">
        <v>2022</v>
      </c>
      <c r="AI529" s="2157"/>
      <c r="AJ529" s="2157"/>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440"/>
      <c r="C530" s="2441"/>
      <c r="D530" s="2441"/>
      <c r="E530" s="2441"/>
      <c r="F530" s="2441"/>
      <c r="G530" s="2441"/>
      <c r="H530" s="2442"/>
      <c r="I530" s="25" t="s">
        <v>437</v>
      </c>
      <c r="J530" s="25"/>
      <c r="K530" s="25"/>
      <c r="L530" s="25"/>
      <c r="M530" s="25"/>
      <c r="N530" s="25"/>
      <c r="O530" s="25"/>
      <c r="P530" s="25"/>
      <c r="Q530" s="25"/>
      <c r="R530" s="25"/>
      <c r="S530" s="25"/>
      <c r="T530" s="25"/>
      <c r="U530" s="25"/>
      <c r="V530" s="25"/>
      <c r="W530" s="25"/>
      <c r="X530" s="25"/>
      <c r="Y530" s="25"/>
      <c r="Z530" s="25"/>
      <c r="AA530" s="25"/>
      <c r="AB530" s="25"/>
      <c r="AC530" s="2423">
        <v>3</v>
      </c>
      <c r="AD530" s="2301"/>
      <c r="AE530" s="2301"/>
      <c r="AF530" s="2301"/>
      <c r="AG530" s="75" t="s">
        <v>424</v>
      </c>
      <c r="AH530" s="2157">
        <v>2022</v>
      </c>
      <c r="AI530" s="2157"/>
      <c r="AJ530" s="2157"/>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443"/>
      <c r="C531" s="2444"/>
      <c r="D531" s="2444"/>
      <c r="E531" s="2444"/>
      <c r="F531" s="2444"/>
      <c r="G531" s="2444"/>
      <c r="H531" s="2445"/>
      <c r="I531" s="80" t="s">
        <v>438</v>
      </c>
      <c r="J531" s="80"/>
      <c r="K531" s="80"/>
      <c r="L531" s="80"/>
      <c r="M531" s="80"/>
      <c r="N531" s="80"/>
      <c r="O531" s="80"/>
      <c r="P531" s="80"/>
      <c r="Q531" s="80"/>
      <c r="R531" s="80"/>
      <c r="S531" s="80"/>
      <c r="T531" s="80"/>
      <c r="U531" s="80"/>
      <c r="V531" s="80"/>
      <c r="W531" s="80"/>
      <c r="X531" s="80"/>
      <c r="Y531" s="80"/>
      <c r="Z531" s="80"/>
      <c r="AA531" s="80"/>
      <c r="AB531" s="80"/>
      <c r="AC531" s="2423">
        <v>12</v>
      </c>
      <c r="AD531" s="2301"/>
      <c r="AE531" s="2301"/>
      <c r="AF531" s="2301"/>
      <c r="AG531" s="65" t="s">
        <v>424</v>
      </c>
      <c r="AH531" s="2157">
        <v>2025</v>
      </c>
      <c r="AI531" s="2157"/>
      <c r="AJ531" s="2157"/>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437" t="s">
        <v>440</v>
      </c>
      <c r="C532" s="2438"/>
      <c r="D532" s="2438"/>
      <c r="E532" s="2438"/>
      <c r="F532" s="2438"/>
      <c r="G532" s="2438"/>
      <c r="H532" s="2439"/>
      <c r="I532" s="71" t="s">
        <v>441</v>
      </c>
      <c r="J532" s="72"/>
      <c r="K532" s="72"/>
      <c r="L532" s="72"/>
      <c r="M532" s="72"/>
      <c r="N532" s="72"/>
      <c r="O532" s="1993" t="s">
        <v>2632</v>
      </c>
      <c r="P532" s="1993"/>
      <c r="Q532" s="1993"/>
      <c r="R532" s="1993"/>
      <c r="S532" s="1993"/>
      <c r="T532" s="1993"/>
      <c r="U532" s="1993"/>
      <c r="V532" s="1993"/>
      <c r="W532" s="1993"/>
      <c r="X532" s="1993"/>
      <c r="Y532" s="1993"/>
      <c r="Z532" s="1993"/>
      <c r="AA532" s="1993"/>
      <c r="AB532" s="94"/>
      <c r="AC532" s="2142"/>
      <c r="AD532" s="2143"/>
      <c r="AE532" s="2143"/>
      <c r="AF532" s="2143"/>
      <c r="AG532" s="196" t="s">
        <v>424</v>
      </c>
      <c r="AH532" s="2157"/>
      <c r="AI532" s="2157"/>
      <c r="AJ532" s="2157"/>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440"/>
      <c r="C533" s="2441"/>
      <c r="D533" s="2441"/>
      <c r="E533" s="2441"/>
      <c r="F533" s="2441"/>
      <c r="G533" s="2441"/>
      <c r="H533" s="2442"/>
      <c r="I533" s="171" t="s">
        <v>442</v>
      </c>
      <c r="J533" s="25"/>
      <c r="K533" s="25"/>
      <c r="L533" s="25"/>
      <c r="M533" s="25"/>
      <c r="N533" s="25"/>
      <c r="O533" s="25"/>
      <c r="P533" s="25"/>
      <c r="Q533" s="25"/>
      <c r="R533" s="25"/>
      <c r="S533" s="25"/>
      <c r="T533" s="25"/>
      <c r="U533" s="25"/>
      <c r="V533" s="25"/>
      <c r="W533" s="25"/>
      <c r="X533" s="25"/>
      <c r="Y533" s="25"/>
      <c r="Z533" s="25"/>
      <c r="AA533" s="25"/>
      <c r="AB533" s="101"/>
      <c r="AC533" s="2423">
        <v>7</v>
      </c>
      <c r="AD533" s="2301"/>
      <c r="AE533" s="2301"/>
      <c r="AF533" s="2301"/>
      <c r="AG533" s="75" t="s">
        <v>424</v>
      </c>
      <c r="AH533" s="2157">
        <v>2021</v>
      </c>
      <c r="AI533" s="2157"/>
      <c r="AJ533" s="2157"/>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440"/>
      <c r="C534" s="2441"/>
      <c r="D534" s="2441"/>
      <c r="E534" s="2441"/>
      <c r="F534" s="2441"/>
      <c r="G534" s="2441"/>
      <c r="H534" s="2442"/>
      <c r="I534" s="79" t="s">
        <v>443</v>
      </c>
      <c r="J534" s="80"/>
      <c r="K534" s="80"/>
      <c r="L534" s="80"/>
      <c r="M534" s="80"/>
      <c r="N534" s="80"/>
      <c r="O534" s="80"/>
      <c r="P534" s="80"/>
      <c r="Q534" s="80"/>
      <c r="R534" s="80"/>
      <c r="S534" s="80"/>
      <c r="T534" s="80"/>
      <c r="U534" s="80"/>
      <c r="V534" s="80"/>
      <c r="W534" s="80"/>
      <c r="X534" s="80"/>
      <c r="Y534" s="80"/>
      <c r="Z534" s="80"/>
      <c r="AA534" s="80"/>
      <c r="AB534" s="81"/>
      <c r="AC534" s="2423">
        <v>12</v>
      </c>
      <c r="AD534" s="2301"/>
      <c r="AE534" s="2301"/>
      <c r="AF534" s="2301"/>
      <c r="AG534" s="65" t="s">
        <v>424</v>
      </c>
      <c r="AH534" s="2157">
        <v>2025</v>
      </c>
      <c r="AI534" s="2157"/>
      <c r="AJ534" s="2157"/>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440"/>
      <c r="C535" s="2441"/>
      <c r="D535" s="2441"/>
      <c r="E535" s="2441"/>
      <c r="F535" s="2441"/>
      <c r="G535" s="2441"/>
      <c r="H535" s="2442"/>
      <c r="I535" s="72" t="s">
        <v>444</v>
      </c>
      <c r="J535" s="72"/>
      <c r="K535" s="72"/>
      <c r="L535" s="72"/>
      <c r="M535" s="72"/>
      <c r="N535" s="72"/>
      <c r="O535" s="2013" t="s">
        <v>343</v>
      </c>
      <c r="P535" s="2013"/>
      <c r="Q535" s="2013"/>
      <c r="R535" s="2013"/>
      <c r="S535" s="2013"/>
      <c r="T535" s="2013"/>
      <c r="U535" s="2013"/>
      <c r="V535" s="2013"/>
      <c r="W535" s="2013"/>
      <c r="X535" s="2013"/>
      <c r="Y535" s="2013"/>
      <c r="Z535" s="2013"/>
      <c r="AA535" s="2013"/>
      <c r="AC535" s="2423" t="s">
        <v>626</v>
      </c>
      <c r="AD535" s="2301"/>
      <c r="AE535" s="2301"/>
      <c r="AF535" s="2301"/>
      <c r="AG535" s="75" t="s">
        <v>424</v>
      </c>
      <c r="AH535" s="2157"/>
      <c r="AI535" s="2157"/>
      <c r="AJ535" s="2157"/>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440"/>
      <c r="C536" s="2441"/>
      <c r="D536" s="2441"/>
      <c r="E536" s="2441"/>
      <c r="F536" s="2441"/>
      <c r="G536" s="2441"/>
      <c r="H536" s="2442"/>
      <c r="I536" s="25" t="s">
        <v>442</v>
      </c>
      <c r="J536" s="25"/>
      <c r="K536" s="25"/>
      <c r="L536" s="25"/>
      <c r="M536" s="25"/>
      <c r="N536" s="25"/>
      <c r="O536" s="25"/>
      <c r="P536" s="25"/>
      <c r="Q536" s="25"/>
      <c r="R536" s="25"/>
      <c r="S536" s="25"/>
      <c r="T536" s="25"/>
      <c r="U536" s="25"/>
      <c r="V536" s="25"/>
      <c r="W536" s="25"/>
      <c r="X536" s="25"/>
      <c r="Y536" s="25"/>
      <c r="AC536" s="2423" t="s">
        <v>626</v>
      </c>
      <c r="AD536" s="2301"/>
      <c r="AE536" s="2301"/>
      <c r="AF536" s="2301"/>
      <c r="AG536" s="75" t="s">
        <v>424</v>
      </c>
      <c r="AH536" s="2157"/>
      <c r="AI536" s="2157"/>
      <c r="AJ536" s="2157"/>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440"/>
      <c r="C537" s="2441"/>
      <c r="D537" s="2441"/>
      <c r="E537" s="2441"/>
      <c r="F537" s="2441"/>
      <c r="G537" s="2441"/>
      <c r="H537" s="2442"/>
      <c r="I537" s="80" t="s">
        <v>443</v>
      </c>
      <c r="J537" s="80"/>
      <c r="K537" s="80"/>
      <c r="L537" s="80"/>
      <c r="M537" s="80"/>
      <c r="N537" s="80"/>
      <c r="O537" s="80"/>
      <c r="P537" s="80"/>
      <c r="Q537" s="80"/>
      <c r="R537" s="80"/>
      <c r="S537" s="80"/>
      <c r="T537" s="80"/>
      <c r="U537" s="80"/>
      <c r="V537" s="80"/>
      <c r="W537" s="80"/>
      <c r="X537" s="80"/>
      <c r="Y537" s="80"/>
      <c r="Z537" s="80"/>
      <c r="AA537" s="80"/>
      <c r="AB537" s="80"/>
      <c r="AC537" s="2423" t="s">
        <v>626</v>
      </c>
      <c r="AD537" s="2301"/>
      <c r="AE537" s="2301"/>
      <c r="AF537" s="2301"/>
      <c r="AG537" s="65" t="s">
        <v>424</v>
      </c>
      <c r="AH537" s="2157"/>
      <c r="AI537" s="2157"/>
      <c r="AJ537" s="2157"/>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440"/>
      <c r="C538" s="2441"/>
      <c r="D538" s="2441"/>
      <c r="E538" s="2441"/>
      <c r="F538" s="2441"/>
      <c r="G538" s="2441"/>
      <c r="H538" s="2442"/>
      <c r="I538" s="72" t="s">
        <v>444</v>
      </c>
      <c r="J538" s="72"/>
      <c r="K538" s="72"/>
      <c r="L538" s="72"/>
      <c r="M538" s="72"/>
      <c r="N538" s="72"/>
      <c r="O538" s="2013" t="s">
        <v>343</v>
      </c>
      <c r="P538" s="2013"/>
      <c r="Q538" s="2013"/>
      <c r="R538" s="2013"/>
      <c r="S538" s="2013"/>
      <c r="T538" s="2013"/>
      <c r="U538" s="2013"/>
      <c r="V538" s="2013"/>
      <c r="W538" s="2013"/>
      <c r="X538" s="2013"/>
      <c r="Y538" s="2013"/>
      <c r="Z538" s="2013"/>
      <c r="AA538" s="2013"/>
      <c r="AC538" s="2423" t="s">
        <v>626</v>
      </c>
      <c r="AD538" s="2301"/>
      <c r="AE538" s="2301"/>
      <c r="AF538" s="2301"/>
      <c r="AG538" s="75" t="s">
        <v>424</v>
      </c>
      <c r="AH538" s="2157"/>
      <c r="AI538" s="2157"/>
      <c r="AJ538" s="2157"/>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440"/>
      <c r="C539" s="2441"/>
      <c r="D539" s="2441"/>
      <c r="E539" s="2441"/>
      <c r="F539" s="2441"/>
      <c r="G539" s="2441"/>
      <c r="H539" s="2442"/>
      <c r="I539" s="25" t="s">
        <v>442</v>
      </c>
      <c r="J539" s="25"/>
      <c r="K539" s="25"/>
      <c r="L539" s="25"/>
      <c r="M539" s="25"/>
      <c r="N539" s="25"/>
      <c r="O539" s="25"/>
      <c r="P539" s="25"/>
      <c r="Q539" s="25"/>
      <c r="R539" s="25"/>
      <c r="S539" s="25"/>
      <c r="T539" s="25"/>
      <c r="U539" s="25"/>
      <c r="V539" s="25"/>
      <c r="W539" s="25"/>
      <c r="X539" s="25"/>
      <c r="Y539" s="25"/>
      <c r="AC539" s="2423" t="s">
        <v>626</v>
      </c>
      <c r="AD539" s="2301"/>
      <c r="AE539" s="2301"/>
      <c r="AF539" s="2301"/>
      <c r="AG539" s="75" t="s">
        <v>424</v>
      </c>
      <c r="AH539" s="2157"/>
      <c r="AI539" s="2157"/>
      <c r="AJ539" s="2157"/>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440"/>
      <c r="C540" s="2441"/>
      <c r="D540" s="2441"/>
      <c r="E540" s="2441"/>
      <c r="F540" s="2441"/>
      <c r="G540" s="2441"/>
      <c r="H540" s="2442"/>
      <c r="I540" s="80" t="s">
        <v>443</v>
      </c>
      <c r="J540" s="80"/>
      <c r="K540" s="80"/>
      <c r="L540" s="80"/>
      <c r="M540" s="80"/>
      <c r="N540" s="80"/>
      <c r="O540" s="80"/>
      <c r="P540" s="80"/>
      <c r="Q540" s="80"/>
      <c r="R540" s="80"/>
      <c r="S540" s="80"/>
      <c r="T540" s="80"/>
      <c r="U540" s="80"/>
      <c r="V540" s="80"/>
      <c r="W540" s="80"/>
      <c r="X540" s="80"/>
      <c r="Y540" s="80"/>
      <c r="Z540" s="80"/>
      <c r="AA540" s="80"/>
      <c r="AB540" s="80"/>
      <c r="AC540" s="2423" t="s">
        <v>626</v>
      </c>
      <c r="AD540" s="2301"/>
      <c r="AE540" s="2301"/>
      <c r="AF540" s="2301"/>
      <c r="AG540" s="65" t="s">
        <v>424</v>
      </c>
      <c r="AH540" s="2157"/>
      <c r="AI540" s="2157"/>
      <c r="AJ540" s="2157"/>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440"/>
      <c r="C541" s="2441"/>
      <c r="D541" s="2441"/>
      <c r="E541" s="2441"/>
      <c r="F541" s="2441"/>
      <c r="G541" s="2441"/>
      <c r="H541" s="2442"/>
      <c r="I541" s="72" t="s">
        <v>444</v>
      </c>
      <c r="J541" s="72"/>
      <c r="K541" s="72"/>
      <c r="L541" s="72"/>
      <c r="M541" s="72"/>
      <c r="N541" s="72"/>
      <c r="O541" s="2013" t="s">
        <v>343</v>
      </c>
      <c r="P541" s="2013"/>
      <c r="Q541" s="2013"/>
      <c r="R541" s="2013"/>
      <c r="S541" s="2013"/>
      <c r="T541" s="2013"/>
      <c r="U541" s="2013"/>
      <c r="V541" s="2013"/>
      <c r="W541" s="2013"/>
      <c r="X541" s="2013"/>
      <c r="Y541" s="2013"/>
      <c r="Z541" s="2013"/>
      <c r="AA541" s="2013"/>
      <c r="AC541" s="2423" t="s">
        <v>626</v>
      </c>
      <c r="AD541" s="2301"/>
      <c r="AE541" s="2301"/>
      <c r="AF541" s="2301"/>
      <c r="AG541" s="75" t="s">
        <v>424</v>
      </c>
      <c r="AH541" s="2157"/>
      <c r="AI541" s="2157"/>
      <c r="AJ541" s="2157"/>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440"/>
      <c r="C542" s="2441"/>
      <c r="D542" s="2441"/>
      <c r="E542" s="2441"/>
      <c r="F542" s="2441"/>
      <c r="G542" s="2441"/>
      <c r="H542" s="2442"/>
      <c r="I542" s="25" t="s">
        <v>442</v>
      </c>
      <c r="J542" s="25"/>
      <c r="K542" s="25"/>
      <c r="L542" s="25"/>
      <c r="M542" s="25"/>
      <c r="N542" s="25"/>
      <c r="O542" s="25"/>
      <c r="P542" s="25"/>
      <c r="Q542" s="25"/>
      <c r="R542" s="25"/>
      <c r="S542" s="25"/>
      <c r="T542" s="25"/>
      <c r="U542" s="25"/>
      <c r="V542" s="25"/>
      <c r="W542" s="25"/>
      <c r="X542" s="25"/>
      <c r="Y542" s="25"/>
      <c r="AC542" s="2423" t="s">
        <v>626</v>
      </c>
      <c r="AD542" s="2301"/>
      <c r="AE542" s="2301"/>
      <c r="AF542" s="2301"/>
      <c r="AG542" s="75" t="s">
        <v>424</v>
      </c>
      <c r="AH542" s="2157"/>
      <c r="AI542" s="2157"/>
      <c r="AJ542" s="2157"/>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440"/>
      <c r="C543" s="2441"/>
      <c r="D543" s="2441"/>
      <c r="E543" s="2441"/>
      <c r="F543" s="2441"/>
      <c r="G543" s="2441"/>
      <c r="H543" s="2442"/>
      <c r="I543" s="80" t="s">
        <v>443</v>
      </c>
      <c r="J543" s="80"/>
      <c r="K543" s="80"/>
      <c r="L543" s="80"/>
      <c r="M543" s="80"/>
      <c r="N543" s="80"/>
      <c r="O543" s="80"/>
      <c r="P543" s="80"/>
      <c r="Q543" s="80"/>
      <c r="R543" s="80"/>
      <c r="S543" s="80"/>
      <c r="T543" s="80"/>
      <c r="U543" s="80"/>
      <c r="V543" s="80"/>
      <c r="W543" s="80"/>
      <c r="X543" s="80"/>
      <c r="Y543" s="80"/>
      <c r="Z543" s="80"/>
      <c r="AA543" s="80"/>
      <c r="AB543" s="80"/>
      <c r="AC543" s="2423" t="s">
        <v>626</v>
      </c>
      <c r="AD543" s="2301"/>
      <c r="AE543" s="2301"/>
      <c r="AF543" s="2301"/>
      <c r="AG543" s="65" t="s">
        <v>424</v>
      </c>
      <c r="AH543" s="2157"/>
      <c r="AI543" s="2157"/>
      <c r="AJ543" s="2157"/>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440"/>
      <c r="C544" s="2441"/>
      <c r="D544" s="2441"/>
      <c r="E544" s="2441"/>
      <c r="F544" s="2441"/>
      <c r="G544" s="2441"/>
      <c r="H544" s="2442"/>
      <c r="I544" s="72" t="s">
        <v>444</v>
      </c>
      <c r="J544" s="72"/>
      <c r="K544" s="72"/>
      <c r="L544" s="72"/>
      <c r="M544" s="72"/>
      <c r="N544" s="72"/>
      <c r="O544" s="2013" t="s">
        <v>343</v>
      </c>
      <c r="P544" s="2013"/>
      <c r="Q544" s="2013"/>
      <c r="R544" s="2013"/>
      <c r="S544" s="2013"/>
      <c r="T544" s="2013"/>
      <c r="U544" s="2013"/>
      <c r="V544" s="2013"/>
      <c r="W544" s="2013"/>
      <c r="X544" s="2013"/>
      <c r="Y544" s="2013"/>
      <c r="Z544" s="2013"/>
      <c r="AA544" s="2013"/>
      <c r="AC544" s="2423" t="s">
        <v>626</v>
      </c>
      <c r="AD544" s="2301"/>
      <c r="AE544" s="2301"/>
      <c r="AF544" s="2301"/>
      <c r="AG544" s="75" t="s">
        <v>424</v>
      </c>
      <c r="AH544" s="2157"/>
      <c r="AI544" s="2157"/>
      <c r="AJ544" s="2157"/>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440"/>
      <c r="C545" s="2441"/>
      <c r="D545" s="2441"/>
      <c r="E545" s="2441"/>
      <c r="F545" s="2441"/>
      <c r="G545" s="2441"/>
      <c r="H545" s="2442"/>
      <c r="I545" s="25" t="s">
        <v>442</v>
      </c>
      <c r="J545" s="25"/>
      <c r="K545" s="25"/>
      <c r="L545" s="25"/>
      <c r="M545" s="25"/>
      <c r="N545" s="25"/>
      <c r="O545" s="25"/>
      <c r="P545" s="25"/>
      <c r="Q545" s="25"/>
      <c r="R545" s="25"/>
      <c r="S545" s="25"/>
      <c r="T545" s="25"/>
      <c r="U545" s="25"/>
      <c r="V545" s="25"/>
      <c r="W545" s="25"/>
      <c r="X545" s="25"/>
      <c r="Y545" s="25"/>
      <c r="AC545" s="2423" t="s">
        <v>626</v>
      </c>
      <c r="AD545" s="2301"/>
      <c r="AE545" s="2301"/>
      <c r="AF545" s="2301"/>
      <c r="AG545" s="65" t="s">
        <v>424</v>
      </c>
      <c r="AH545" s="2157"/>
      <c r="AI545" s="2157"/>
      <c r="AJ545" s="2157"/>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440"/>
      <c r="C546" s="2441"/>
      <c r="D546" s="2441"/>
      <c r="E546" s="2441"/>
      <c r="F546" s="2441"/>
      <c r="G546" s="2441"/>
      <c r="H546" s="2442"/>
      <c r="I546" s="80" t="s">
        <v>443</v>
      </c>
      <c r="J546" s="80"/>
      <c r="K546" s="80"/>
      <c r="L546" s="80"/>
      <c r="M546" s="80"/>
      <c r="N546" s="80"/>
      <c r="O546" s="80"/>
      <c r="P546" s="80"/>
      <c r="Q546" s="80"/>
      <c r="R546" s="80"/>
      <c r="S546" s="80"/>
      <c r="T546" s="80"/>
      <c r="U546" s="80"/>
      <c r="V546" s="80"/>
      <c r="W546" s="80"/>
      <c r="X546" s="80"/>
      <c r="Y546" s="80"/>
      <c r="Z546" s="80"/>
      <c r="AA546" s="80"/>
      <c r="AB546" s="80"/>
      <c r="AC546" s="2423" t="s">
        <v>626</v>
      </c>
      <c r="AD546" s="2301"/>
      <c r="AE546" s="2301"/>
      <c r="AF546" s="2301"/>
      <c r="AG546" s="75" t="s">
        <v>424</v>
      </c>
      <c r="AH546" s="2157"/>
      <c r="AI546" s="2157"/>
      <c r="AJ546" s="2157"/>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440"/>
      <c r="C547" s="2441"/>
      <c r="D547" s="2441"/>
      <c r="E547" s="2441"/>
      <c r="F547" s="2441"/>
      <c r="G547" s="2441"/>
      <c r="H547" s="2442"/>
      <c r="I547" s="72" t="s">
        <v>444</v>
      </c>
      <c r="J547" s="72"/>
      <c r="K547" s="72"/>
      <c r="L547" s="72"/>
      <c r="M547" s="72"/>
      <c r="N547" s="72"/>
      <c r="O547" s="2013" t="s">
        <v>343</v>
      </c>
      <c r="P547" s="2013"/>
      <c r="Q547" s="2013"/>
      <c r="R547" s="2013"/>
      <c r="S547" s="2013"/>
      <c r="T547" s="2013"/>
      <c r="U547" s="2013"/>
      <c r="V547" s="2013"/>
      <c r="W547" s="2013"/>
      <c r="X547" s="2013"/>
      <c r="Y547" s="2013"/>
      <c r="Z547" s="2013"/>
      <c r="AA547" s="2013"/>
      <c r="AC547" s="2423" t="s">
        <v>626</v>
      </c>
      <c r="AD547" s="2301"/>
      <c r="AE547" s="2301"/>
      <c r="AF547" s="2301"/>
      <c r="AG547" s="65" t="s">
        <v>424</v>
      </c>
      <c r="AH547" s="2157"/>
      <c r="AI547" s="2157"/>
      <c r="AJ547" s="2157"/>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440"/>
      <c r="C548" s="2441"/>
      <c r="D548" s="2441"/>
      <c r="E548" s="2441"/>
      <c r="F548" s="2441"/>
      <c r="G548" s="2441"/>
      <c r="H548" s="2442"/>
      <c r="I548" s="25" t="s">
        <v>442</v>
      </c>
      <c r="J548" s="25"/>
      <c r="K548" s="25"/>
      <c r="L548" s="25"/>
      <c r="M548" s="25"/>
      <c r="N548" s="25"/>
      <c r="O548" s="25"/>
      <c r="P548" s="25"/>
      <c r="Q548" s="25"/>
      <c r="R548" s="25"/>
      <c r="S548" s="25"/>
      <c r="T548" s="25"/>
      <c r="U548" s="25"/>
      <c r="V548" s="25"/>
      <c r="W548" s="25"/>
      <c r="X548" s="25"/>
      <c r="Y548" s="25"/>
      <c r="AC548" s="2423" t="s">
        <v>626</v>
      </c>
      <c r="AD548" s="2301"/>
      <c r="AE548" s="2301"/>
      <c r="AF548" s="2301"/>
      <c r="AG548" s="75" t="s">
        <v>424</v>
      </c>
      <c r="AH548" s="2157"/>
      <c r="AI548" s="2157"/>
      <c r="AJ548" s="2157"/>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440"/>
      <c r="C549" s="2441"/>
      <c r="D549" s="2441"/>
      <c r="E549" s="2441"/>
      <c r="F549" s="2441"/>
      <c r="G549" s="2441"/>
      <c r="H549" s="2442"/>
      <c r="I549" s="80" t="s">
        <v>443</v>
      </c>
      <c r="J549" s="80"/>
      <c r="K549" s="80"/>
      <c r="L549" s="80"/>
      <c r="M549" s="80"/>
      <c r="N549" s="80"/>
      <c r="O549" s="80"/>
      <c r="P549" s="80"/>
      <c r="Q549" s="80"/>
      <c r="R549" s="80"/>
      <c r="S549" s="80"/>
      <c r="T549" s="80"/>
      <c r="U549" s="80"/>
      <c r="V549" s="80"/>
      <c r="W549" s="80"/>
      <c r="X549" s="80"/>
      <c r="Y549" s="80"/>
      <c r="Z549" s="80"/>
      <c r="AA549" s="80"/>
      <c r="AB549" s="80"/>
      <c r="AC549" s="2423" t="s">
        <v>626</v>
      </c>
      <c r="AD549" s="2301"/>
      <c r="AE549" s="2301"/>
      <c r="AF549" s="2301"/>
      <c r="AG549" s="65" t="s">
        <v>424</v>
      </c>
      <c r="AH549" s="2157"/>
      <c r="AI549" s="2157"/>
      <c r="AJ549" s="2157"/>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440"/>
      <c r="C550" s="2441"/>
      <c r="D550" s="2441"/>
      <c r="E550" s="2441"/>
      <c r="F550" s="2441"/>
      <c r="G550" s="2441"/>
      <c r="H550" s="2442"/>
      <c r="I550" s="72" t="s">
        <v>595</v>
      </c>
      <c r="J550" s="72"/>
      <c r="K550" s="72"/>
      <c r="L550" s="72"/>
      <c r="M550" s="72"/>
      <c r="N550" s="72"/>
      <c r="O550" s="72"/>
      <c r="P550" s="72"/>
      <c r="Q550" s="72"/>
      <c r="R550" s="72"/>
      <c r="S550" s="72"/>
      <c r="T550" s="72"/>
      <c r="U550" s="72"/>
      <c r="V550" s="72"/>
      <c r="W550" s="72"/>
      <c r="X550" s="25"/>
      <c r="Y550" s="25"/>
      <c r="AC550" s="2423">
        <v>5</v>
      </c>
      <c r="AD550" s="2301"/>
      <c r="AE550" s="2301"/>
      <c r="AF550" s="2301"/>
      <c r="AG550" s="65" t="s">
        <v>424</v>
      </c>
      <c r="AH550" s="2157">
        <v>2023</v>
      </c>
      <c r="AI550" s="2157"/>
      <c r="AJ550" s="2157"/>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440"/>
      <c r="C551" s="2441"/>
      <c r="D551" s="2441"/>
      <c r="E551" s="2441"/>
      <c r="F551" s="2441"/>
      <c r="G551" s="2441"/>
      <c r="H551" s="2442"/>
      <c r="I551" s="25" t="s">
        <v>596</v>
      </c>
      <c r="J551" s="25"/>
      <c r="K551" s="25"/>
      <c r="L551" s="25"/>
      <c r="M551" s="25"/>
      <c r="N551" s="25"/>
      <c r="O551" s="25"/>
      <c r="P551" s="25"/>
      <c r="Q551" s="25"/>
      <c r="R551" s="25"/>
      <c r="S551" s="25"/>
      <c r="T551" s="25"/>
      <c r="U551" s="25"/>
      <c r="V551" s="25"/>
      <c r="W551" s="25"/>
      <c r="X551" s="25"/>
      <c r="Y551" s="25"/>
      <c r="AC551" s="2423">
        <v>12</v>
      </c>
      <c r="AD551" s="2301"/>
      <c r="AE551" s="2301"/>
      <c r="AF551" s="2301"/>
      <c r="AG551" s="75" t="s">
        <v>424</v>
      </c>
      <c r="AH551" s="2157">
        <v>2022</v>
      </c>
      <c r="AI551" s="2157"/>
      <c r="AJ551" s="2157"/>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440"/>
      <c r="C552" s="2441"/>
      <c r="D552" s="2441"/>
      <c r="E552" s="2441"/>
      <c r="F552" s="2441"/>
      <c r="G552" s="2441"/>
      <c r="H552" s="2442"/>
      <c r="I552" s="25" t="s">
        <v>597</v>
      </c>
      <c r="J552" s="25"/>
      <c r="K552" s="25"/>
      <c r="L552" s="25"/>
      <c r="M552" s="25"/>
      <c r="N552" s="25"/>
      <c r="O552" s="25"/>
      <c r="P552" s="25"/>
      <c r="Q552" s="25"/>
      <c r="R552" s="25"/>
      <c r="S552" s="25"/>
      <c r="T552" s="25"/>
      <c r="U552" s="25"/>
      <c r="V552" s="25"/>
      <c r="W552" s="25"/>
      <c r="X552" s="25"/>
      <c r="Y552" s="25"/>
      <c r="AC552" s="2423">
        <v>12</v>
      </c>
      <c r="AD552" s="2301"/>
      <c r="AE552" s="2301"/>
      <c r="AF552" s="2301"/>
      <c r="AG552" s="65" t="s">
        <v>424</v>
      </c>
      <c r="AH552" s="2157">
        <v>2024</v>
      </c>
      <c r="AI552" s="2157"/>
      <c r="AJ552" s="2157"/>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440"/>
      <c r="C553" s="2441"/>
      <c r="D553" s="2441"/>
      <c r="E553" s="2441"/>
      <c r="F553" s="2441"/>
      <c r="G553" s="2441"/>
      <c r="H553" s="2442"/>
      <c r="I553" s="25" t="s">
        <v>598</v>
      </c>
      <c r="J553" s="25"/>
      <c r="K553" s="25"/>
      <c r="L553" s="25"/>
      <c r="M553" s="25"/>
      <c r="N553" s="25"/>
      <c r="O553" s="25"/>
      <c r="P553" s="25"/>
      <c r="Q553" s="25"/>
      <c r="R553" s="25"/>
      <c r="S553" s="25"/>
      <c r="T553" s="25"/>
      <c r="U553" s="25"/>
      <c r="V553" s="25"/>
      <c r="W553" s="25"/>
      <c r="X553" s="25"/>
      <c r="Y553" s="25"/>
      <c r="AC553" s="2423">
        <v>12</v>
      </c>
      <c r="AD553" s="2301"/>
      <c r="AE553" s="2301"/>
      <c r="AF553" s="2301"/>
      <c r="AG553" s="65" t="s">
        <v>424</v>
      </c>
      <c r="AH553" s="2157">
        <v>2024</v>
      </c>
      <c r="AI553" s="2157"/>
      <c r="AJ553" s="2157"/>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443"/>
      <c r="C554" s="2444"/>
      <c r="D554" s="2444"/>
      <c r="E554" s="2444"/>
      <c r="F554" s="2444"/>
      <c r="G554" s="2444"/>
      <c r="H554" s="2445"/>
      <c r="I554" s="80" t="s">
        <v>482</v>
      </c>
      <c r="J554" s="80"/>
      <c r="K554" s="80"/>
      <c r="L554" s="80"/>
      <c r="M554" s="80"/>
      <c r="N554" s="80"/>
      <c r="O554" s="80"/>
      <c r="P554" s="80"/>
      <c r="Q554" s="80"/>
      <c r="R554" s="80"/>
      <c r="S554" s="80"/>
      <c r="T554" s="80"/>
      <c r="U554" s="80"/>
      <c r="V554" s="80"/>
      <c r="W554" s="80"/>
      <c r="X554" s="80"/>
      <c r="Y554" s="80"/>
      <c r="Z554" s="80"/>
      <c r="AA554" s="80"/>
      <c r="AB554" s="80"/>
      <c r="AC554" s="2423">
        <v>6</v>
      </c>
      <c r="AD554" s="2301"/>
      <c r="AE554" s="2301"/>
      <c r="AF554" s="2301"/>
      <c r="AG554" s="65" t="s">
        <v>424</v>
      </c>
      <c r="AH554" s="2157">
        <v>2025</v>
      </c>
      <c r="AI554" s="2157"/>
      <c r="AJ554" s="2157"/>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576</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1" customHeight="1">
      <c r="B563" s="2449" t="s">
        <v>484</v>
      </c>
      <c r="C563" s="2026"/>
      <c r="D563" s="2026"/>
      <c r="E563" s="2026"/>
      <c r="F563" s="2026"/>
      <c r="G563" s="2026"/>
      <c r="H563" s="2026"/>
      <c r="I563" s="2026"/>
      <c r="J563" s="2026"/>
      <c r="K563" s="2026"/>
      <c r="L563" s="2026"/>
      <c r="M563" s="2026"/>
      <c r="N563" s="2026"/>
      <c r="O563" s="2026"/>
      <c r="P563" s="2027"/>
      <c r="Q563" s="2449" t="s">
        <v>2293</v>
      </c>
      <c r="R563" s="2450"/>
      <c r="S563" s="2451"/>
      <c r="T563" s="2449" t="s">
        <v>2291</v>
      </c>
      <c r="U563" s="2450"/>
      <c r="V563" s="2451"/>
      <c r="W563" s="2449" t="s">
        <v>485</v>
      </c>
      <c r="X563" s="2450"/>
      <c r="Y563" s="2451"/>
      <c r="Z563" s="2449" t="s">
        <v>2292</v>
      </c>
      <c r="AA563" s="2450"/>
      <c r="AB563" s="2450"/>
      <c r="AC563" s="2450"/>
      <c r="AD563" s="2450"/>
      <c r="AE563" s="2449" t="s">
        <v>2088</v>
      </c>
      <c r="AF563" s="2450"/>
      <c r="AG563" s="2450"/>
      <c r="AH563" s="2451"/>
      <c r="AI563" s="2449" t="s">
        <v>2089</v>
      </c>
      <c r="AJ563" s="2450"/>
      <c r="AK563" s="2450"/>
      <c r="AL563" s="2451"/>
      <c r="AM563" s="2449" t="s">
        <v>486</v>
      </c>
      <c r="AN563" s="2450"/>
      <c r="AO563" s="2450"/>
      <c r="AP563" s="2450"/>
      <c r="AQ563" s="2450"/>
      <c r="AR563" s="2450"/>
      <c r="AS563" s="245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047" t="s">
        <v>2675</v>
      </c>
      <c r="D564" s="2047"/>
      <c r="E564" s="2047"/>
      <c r="F564" s="2047"/>
      <c r="G564" s="2047"/>
      <c r="H564" s="2047"/>
      <c r="I564" s="2047"/>
      <c r="J564" s="2047"/>
      <c r="K564" s="2047"/>
      <c r="L564" s="2047"/>
      <c r="M564" s="2047"/>
      <c r="N564" s="2047"/>
      <c r="O564" s="2047"/>
      <c r="P564" s="2048"/>
      <c r="Q564" s="2005">
        <v>36</v>
      </c>
      <c r="R564" s="2005"/>
      <c r="S564" s="2006"/>
      <c r="T564" s="2004">
        <v>36</v>
      </c>
      <c r="U564" s="2005"/>
      <c r="V564" s="2006"/>
      <c r="W564" s="2471">
        <v>0.04</v>
      </c>
      <c r="X564" s="2472"/>
      <c r="Y564" s="2473"/>
      <c r="Z564" s="2470" t="s">
        <v>2633</v>
      </c>
      <c r="AA564" s="2470"/>
      <c r="AB564" s="2470"/>
      <c r="AC564" s="2470"/>
      <c r="AD564" s="2470"/>
      <c r="AE564" s="2464">
        <v>1</v>
      </c>
      <c r="AF564" s="2465"/>
      <c r="AG564" s="2465"/>
      <c r="AH564" s="2466"/>
      <c r="AI564" s="2467" t="s">
        <v>2634</v>
      </c>
      <c r="AJ564" s="2468"/>
      <c r="AK564" s="2468"/>
      <c r="AL564" s="2469"/>
      <c r="AM564" s="1982">
        <v>57000000</v>
      </c>
      <c r="AN564" s="1983"/>
      <c r="AO564" s="1983"/>
      <c r="AP564" s="1983"/>
      <c r="AQ564" s="1983"/>
      <c r="AR564" s="1983"/>
      <c r="AS564" s="198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7" t="s">
        <v>2676</v>
      </c>
      <c r="D565" s="2047"/>
      <c r="E565" s="2047"/>
      <c r="F565" s="2047"/>
      <c r="G565" s="2047"/>
      <c r="H565" s="2047"/>
      <c r="I565" s="2047"/>
      <c r="J565" s="2047"/>
      <c r="K565" s="2047"/>
      <c r="L565" s="2047"/>
      <c r="M565" s="2047"/>
      <c r="N565" s="2047"/>
      <c r="O565" s="2047"/>
      <c r="P565" s="2048"/>
      <c r="Q565" s="2004">
        <v>36</v>
      </c>
      <c r="R565" s="2005"/>
      <c r="S565" s="2006"/>
      <c r="T565" s="2004">
        <v>36</v>
      </c>
      <c r="U565" s="2005"/>
      <c r="V565" s="2006"/>
      <c r="W565" s="2471">
        <v>0.04</v>
      </c>
      <c r="X565" s="2472"/>
      <c r="Y565" s="2473"/>
      <c r="Z565" s="2470" t="s">
        <v>2633</v>
      </c>
      <c r="AA565" s="2470"/>
      <c r="AB565" s="2470"/>
      <c r="AC565" s="2470"/>
      <c r="AD565" s="2470"/>
      <c r="AE565" s="2464">
        <v>2</v>
      </c>
      <c r="AF565" s="2465"/>
      <c r="AG565" s="2465"/>
      <c r="AH565" s="2466"/>
      <c r="AI565" s="2467" t="s">
        <v>2634</v>
      </c>
      <c r="AJ565" s="2468"/>
      <c r="AK565" s="2468"/>
      <c r="AL565" s="2469"/>
      <c r="AM565" s="1982">
        <v>30000000</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047" t="s">
        <v>2635</v>
      </c>
      <c r="D566" s="2047"/>
      <c r="E566" s="2047"/>
      <c r="F566" s="2047"/>
      <c r="G566" s="2047"/>
      <c r="H566" s="2047"/>
      <c r="I566" s="2047"/>
      <c r="J566" s="2047"/>
      <c r="K566" s="2047"/>
      <c r="L566" s="2047"/>
      <c r="M566" s="2047"/>
      <c r="N566" s="2047"/>
      <c r="O566" s="2047"/>
      <c r="P566" s="2048"/>
      <c r="Q566" s="2004">
        <v>36</v>
      </c>
      <c r="R566" s="2005"/>
      <c r="S566" s="2006"/>
      <c r="T566" s="2004">
        <v>36</v>
      </c>
      <c r="U566" s="2005"/>
      <c r="V566" s="2006"/>
      <c r="W566" s="2471">
        <v>9.9999999999999995E-8</v>
      </c>
      <c r="X566" s="2472"/>
      <c r="Y566" s="2473"/>
      <c r="Z566" s="2470" t="s">
        <v>2633</v>
      </c>
      <c r="AA566" s="2470"/>
      <c r="AB566" s="2470"/>
      <c r="AC566" s="2470"/>
      <c r="AD566" s="2470"/>
      <c r="AE566" s="2464" t="s">
        <v>626</v>
      </c>
      <c r="AF566" s="2465"/>
      <c r="AG566" s="2465"/>
      <c r="AH566" s="2466"/>
      <c r="AI566" s="2467" t="s">
        <v>2636</v>
      </c>
      <c r="AJ566" s="2468"/>
      <c r="AK566" s="2468"/>
      <c r="AL566" s="2469"/>
      <c r="AM566" s="1982">
        <v>13823016</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616</v>
      </c>
      <c r="C567" s="2047" t="s">
        <v>2637</v>
      </c>
      <c r="D567" s="2047"/>
      <c r="E567" s="2047"/>
      <c r="F567" s="2047"/>
      <c r="G567" s="2047"/>
      <c r="H567" s="2047"/>
      <c r="I567" s="2047"/>
      <c r="J567" s="2047"/>
      <c r="K567" s="2047"/>
      <c r="L567" s="2047"/>
      <c r="M567" s="2047"/>
      <c r="N567" s="2047"/>
      <c r="O567" s="2047"/>
      <c r="P567" s="2048"/>
      <c r="Q567" s="2004" t="s">
        <v>626</v>
      </c>
      <c r="R567" s="2005"/>
      <c r="S567" s="2006"/>
      <c r="T567" s="2004" t="s">
        <v>626</v>
      </c>
      <c r="U567" s="2005"/>
      <c r="V567" s="2006"/>
      <c r="W567" s="2471" t="s">
        <v>626</v>
      </c>
      <c r="X567" s="2472"/>
      <c r="Y567" s="2473"/>
      <c r="Z567" s="2470" t="s">
        <v>626</v>
      </c>
      <c r="AA567" s="2470"/>
      <c r="AB567" s="2470"/>
      <c r="AC567" s="2470"/>
      <c r="AD567" s="2470"/>
      <c r="AE567" s="2464" t="s">
        <v>626</v>
      </c>
      <c r="AF567" s="2465"/>
      <c r="AG567" s="2465"/>
      <c r="AH567" s="2466"/>
      <c r="AI567" s="2467" t="s">
        <v>2636</v>
      </c>
      <c r="AJ567" s="2468"/>
      <c r="AK567" s="2468"/>
      <c r="AL567" s="2469"/>
      <c r="AM567" s="1982">
        <v>1319939</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821</v>
      </c>
      <c r="C568" s="2047" t="s">
        <v>2638</v>
      </c>
      <c r="D568" s="2047"/>
      <c r="E568" s="2047"/>
      <c r="F568" s="2047"/>
      <c r="G568" s="2047"/>
      <c r="H568" s="2047"/>
      <c r="I568" s="2047"/>
      <c r="J568" s="2047"/>
      <c r="K568" s="2047"/>
      <c r="L568" s="2047"/>
      <c r="M568" s="2047"/>
      <c r="N568" s="2047"/>
      <c r="O568" s="2047"/>
      <c r="P568" s="2048"/>
      <c r="Q568" s="2004" t="s">
        <v>626</v>
      </c>
      <c r="R568" s="2005"/>
      <c r="S568" s="2006"/>
      <c r="T568" s="2004" t="s">
        <v>626</v>
      </c>
      <c r="U568" s="2005"/>
      <c r="V568" s="2006"/>
      <c r="W568" s="2471" t="s">
        <v>626</v>
      </c>
      <c r="X568" s="2472"/>
      <c r="Y568" s="2473"/>
      <c r="Z568" s="2470" t="s">
        <v>626</v>
      </c>
      <c r="AA568" s="2470"/>
      <c r="AB568" s="2470"/>
      <c r="AC568" s="2470"/>
      <c r="AD568" s="2470"/>
      <c r="AE568" s="2464" t="s">
        <v>626</v>
      </c>
      <c r="AF568" s="2465"/>
      <c r="AG568" s="2465"/>
      <c r="AH568" s="2466"/>
      <c r="AI568" s="2467" t="s">
        <v>626</v>
      </c>
      <c r="AJ568" s="2468"/>
      <c r="AK568" s="2468"/>
      <c r="AL568" s="2469"/>
      <c r="AM568" s="1982">
        <v>8452669</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619</v>
      </c>
      <c r="C569" s="2047"/>
      <c r="D569" s="2047"/>
      <c r="E569" s="2047"/>
      <c r="F569" s="2047"/>
      <c r="G569" s="2047"/>
      <c r="H569" s="2047"/>
      <c r="I569" s="2047"/>
      <c r="J569" s="2047"/>
      <c r="K569" s="2047"/>
      <c r="L569" s="2047"/>
      <c r="M569" s="2047"/>
      <c r="N569" s="2047"/>
      <c r="O569" s="2047"/>
      <c r="P569" s="2048"/>
      <c r="Q569" s="2004"/>
      <c r="R569" s="2005"/>
      <c r="S569" s="2006"/>
      <c r="T569" s="2004"/>
      <c r="U569" s="2005"/>
      <c r="V569" s="2006"/>
      <c r="W569" s="2471"/>
      <c r="X569" s="2472"/>
      <c r="Y569" s="2473"/>
      <c r="Z569" s="2470"/>
      <c r="AA569" s="2470"/>
      <c r="AB569" s="2470"/>
      <c r="AC569" s="2470"/>
      <c r="AD569" s="2470"/>
      <c r="AE569" s="2464"/>
      <c r="AF569" s="2465"/>
      <c r="AG569" s="2465"/>
      <c r="AH569" s="2466"/>
      <c r="AI569" s="2467"/>
      <c r="AJ569" s="2468"/>
      <c r="AK569" s="2468"/>
      <c r="AL569" s="2469"/>
      <c r="AM569" s="1982"/>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487</v>
      </c>
      <c r="C570" s="2047"/>
      <c r="D570" s="2047"/>
      <c r="E570" s="2047"/>
      <c r="F570" s="2047"/>
      <c r="G570" s="2047"/>
      <c r="H570" s="2047"/>
      <c r="I570" s="2047"/>
      <c r="J570" s="2047"/>
      <c r="K570" s="2047"/>
      <c r="L570" s="2047"/>
      <c r="M570" s="2047"/>
      <c r="N570" s="2047"/>
      <c r="O570" s="2047"/>
      <c r="P570" s="2048"/>
      <c r="Q570" s="2004"/>
      <c r="R570" s="2005"/>
      <c r="S570" s="2006"/>
      <c r="T570" s="2004"/>
      <c r="U570" s="2005"/>
      <c r="V570" s="2006"/>
      <c r="W570" s="2471"/>
      <c r="X570" s="2472"/>
      <c r="Y570" s="2473"/>
      <c r="Z570" s="2470"/>
      <c r="AA570" s="2470"/>
      <c r="AB570" s="2470"/>
      <c r="AC570" s="2470"/>
      <c r="AD570" s="2470"/>
      <c r="AE570" s="2464"/>
      <c r="AF570" s="2465"/>
      <c r="AG570" s="2465"/>
      <c r="AH570" s="2466"/>
      <c r="AI570" s="2467"/>
      <c r="AJ570" s="2468"/>
      <c r="AK570" s="2468"/>
      <c r="AL570" s="2469"/>
      <c r="AM570" s="1982"/>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488</v>
      </c>
      <c r="C571" s="2047"/>
      <c r="D571" s="2047"/>
      <c r="E571" s="2047"/>
      <c r="F571" s="2047"/>
      <c r="G571" s="2047"/>
      <c r="H571" s="2047"/>
      <c r="I571" s="2047"/>
      <c r="J571" s="2047"/>
      <c r="K571" s="2047"/>
      <c r="L571" s="2047"/>
      <c r="M571" s="2047"/>
      <c r="N571" s="2047"/>
      <c r="O571" s="2047"/>
      <c r="P571" s="2048"/>
      <c r="Q571" s="2004"/>
      <c r="R571" s="2005"/>
      <c r="S571" s="2006"/>
      <c r="T571" s="2004"/>
      <c r="U571" s="2005"/>
      <c r="V571" s="2006"/>
      <c r="W571" s="2471"/>
      <c r="X571" s="2472"/>
      <c r="Y571" s="2473"/>
      <c r="Z571" s="2470"/>
      <c r="AA571" s="2470"/>
      <c r="AB571" s="2470"/>
      <c r="AC571" s="2470"/>
      <c r="AD571" s="2470"/>
      <c r="AE571" s="2464"/>
      <c r="AF571" s="2465"/>
      <c r="AG571" s="2465"/>
      <c r="AH571" s="2466"/>
      <c r="AI571" s="2467"/>
      <c r="AJ571" s="2468"/>
      <c r="AK571" s="2468"/>
      <c r="AL571" s="2469"/>
      <c r="AM571" s="1982"/>
      <c r="AN571" s="1983"/>
      <c r="AO571" s="1983"/>
      <c r="AP571" s="1983"/>
      <c r="AQ571" s="1983"/>
      <c r="AR571" s="1983"/>
      <c r="AS571" s="198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494</v>
      </c>
      <c r="C572" s="2047"/>
      <c r="D572" s="2047"/>
      <c r="E572" s="2047"/>
      <c r="F572" s="2047"/>
      <c r="G572" s="2047"/>
      <c r="H572" s="2047"/>
      <c r="I572" s="2047"/>
      <c r="J572" s="2047"/>
      <c r="K572" s="2047"/>
      <c r="L572" s="2047"/>
      <c r="M572" s="2047"/>
      <c r="N572" s="2047"/>
      <c r="O572" s="2047"/>
      <c r="P572" s="2048"/>
      <c r="Q572" s="2004"/>
      <c r="R572" s="2005"/>
      <c r="S572" s="2006"/>
      <c r="T572" s="2004"/>
      <c r="U572" s="2005"/>
      <c r="V572" s="2006"/>
      <c r="W572" s="2471"/>
      <c r="X572" s="2472"/>
      <c r="Y572" s="2473"/>
      <c r="Z572" s="2470"/>
      <c r="AA572" s="2470"/>
      <c r="AB572" s="2470"/>
      <c r="AC572" s="2470"/>
      <c r="AD572" s="2470"/>
      <c r="AE572" s="2464"/>
      <c r="AF572" s="2465"/>
      <c r="AG572" s="2465"/>
      <c r="AH572" s="2466"/>
      <c r="AI572" s="2467"/>
      <c r="AJ572" s="2468"/>
      <c r="AK572" s="2468"/>
      <c r="AL572" s="2469"/>
      <c r="AM572" s="1982"/>
      <c r="AN572" s="1983"/>
      <c r="AO572" s="1983"/>
      <c r="AP572" s="1983"/>
      <c r="AQ572" s="1983"/>
      <c r="AR572" s="1983"/>
      <c r="AS572" s="198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7"/>
      <c r="D573" s="2047"/>
      <c r="E573" s="2047"/>
      <c r="F573" s="2047"/>
      <c r="G573" s="2047"/>
      <c r="H573" s="2047"/>
      <c r="I573" s="2047"/>
      <c r="J573" s="2047"/>
      <c r="K573" s="2047"/>
      <c r="L573" s="2047"/>
      <c r="M573" s="2047"/>
      <c r="N573" s="2047"/>
      <c r="O573" s="2047"/>
      <c r="P573" s="2048"/>
      <c r="Q573" s="2004"/>
      <c r="R573" s="2005"/>
      <c r="S573" s="2006"/>
      <c r="T573" s="2004"/>
      <c r="U573" s="2005"/>
      <c r="V573" s="2006"/>
      <c r="W573" s="2471"/>
      <c r="X573" s="2472"/>
      <c r="Y573" s="2473"/>
      <c r="Z573" s="2470"/>
      <c r="AA573" s="2470"/>
      <c r="AB573" s="2470"/>
      <c r="AC573" s="2470"/>
      <c r="AD573" s="2470"/>
      <c r="AE573" s="2464"/>
      <c r="AF573" s="2465"/>
      <c r="AG573" s="2465"/>
      <c r="AH573" s="2466"/>
      <c r="AI573" s="2467"/>
      <c r="AJ573" s="2468"/>
      <c r="AK573" s="2468"/>
      <c r="AL573" s="2469"/>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047"/>
      <c r="D574" s="2047"/>
      <c r="E574" s="2047"/>
      <c r="F574" s="2047"/>
      <c r="G574" s="2047"/>
      <c r="H574" s="2047"/>
      <c r="I574" s="2047"/>
      <c r="J574" s="2047"/>
      <c r="K574" s="2047"/>
      <c r="L574" s="2047"/>
      <c r="M574" s="2047"/>
      <c r="N574" s="2047"/>
      <c r="O574" s="2047"/>
      <c r="P574" s="2048"/>
      <c r="Q574" s="2004"/>
      <c r="R574" s="2005"/>
      <c r="S574" s="2006"/>
      <c r="T574" s="2004"/>
      <c r="U574" s="2005"/>
      <c r="V574" s="2006"/>
      <c r="W574" s="2471"/>
      <c r="X574" s="2472"/>
      <c r="Y574" s="2473"/>
      <c r="Z574" s="2470"/>
      <c r="AA574" s="2470"/>
      <c r="AB574" s="2470"/>
      <c r="AC574" s="2470"/>
      <c r="AD574" s="2470"/>
      <c r="AE574" s="2464"/>
      <c r="AF574" s="2465"/>
      <c r="AG574" s="2465"/>
      <c r="AH574" s="2466"/>
      <c r="AI574" s="2467"/>
      <c r="AJ574" s="2468"/>
      <c r="AK574" s="2468"/>
      <c r="AL574" s="2469"/>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047"/>
      <c r="D575" s="2047"/>
      <c r="E575" s="2047"/>
      <c r="F575" s="2047"/>
      <c r="G575" s="2047"/>
      <c r="H575" s="2047"/>
      <c r="I575" s="2047"/>
      <c r="J575" s="2047"/>
      <c r="K575" s="2047"/>
      <c r="L575" s="2047"/>
      <c r="M575" s="2047"/>
      <c r="N575" s="2047"/>
      <c r="O575" s="2047"/>
      <c r="P575" s="2048"/>
      <c r="Q575" s="2004"/>
      <c r="R575" s="2005"/>
      <c r="S575" s="2006"/>
      <c r="T575" s="2004"/>
      <c r="U575" s="2005"/>
      <c r="V575" s="2006"/>
      <c r="W575" s="2471"/>
      <c r="X575" s="2472"/>
      <c r="Y575" s="2473"/>
      <c r="Z575" s="2470"/>
      <c r="AA575" s="2470"/>
      <c r="AB575" s="2470"/>
      <c r="AC575" s="2470"/>
      <c r="AD575" s="2470"/>
      <c r="AE575" s="2464"/>
      <c r="AF575" s="2465"/>
      <c r="AG575" s="2465"/>
      <c r="AH575" s="2466"/>
      <c r="AI575" s="2467"/>
      <c r="AJ575" s="2468"/>
      <c r="AK575" s="2468"/>
      <c r="AL575" s="2469"/>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379"/>
      <c r="V576" s="2285"/>
      <c r="W576" s="2285"/>
      <c r="X576" s="2285"/>
      <c r="Y576" s="2285"/>
      <c r="Z576" s="2285"/>
      <c r="AA576" s="2285"/>
      <c r="AB576" s="2285"/>
      <c r="AC576" s="2285"/>
      <c r="AD576" s="2285"/>
      <c r="AE576" s="2285"/>
      <c r="AF576" s="2285"/>
      <c r="AG576" s="2285"/>
      <c r="AH576" s="2285"/>
      <c r="AI576" s="2285"/>
      <c r="AJ576" s="2285"/>
      <c r="AK576" s="2285"/>
      <c r="AL576" s="2286"/>
      <c r="AM576" s="2291">
        <f>SUM(AM564:AS575)</f>
        <v>110595624</v>
      </c>
      <c r="AN576" s="2292"/>
      <c r="AO576" s="2292"/>
      <c r="AP576" s="2292"/>
      <c r="AQ576" s="2292"/>
      <c r="AR576" s="2292"/>
      <c r="AS576" s="22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496</v>
      </c>
      <c r="G578" s="1981" t="str">
        <f>C564</f>
        <v>Citibank - Const. Loan (T.E. Bonds)</v>
      </c>
      <c r="H578" s="1981"/>
      <c r="I578" s="1981"/>
      <c r="J578" s="1981"/>
      <c r="K578" s="1981"/>
      <c r="L578" s="1981"/>
      <c r="M578" s="1981"/>
      <c r="N578" s="1981"/>
      <c r="O578" s="1981"/>
      <c r="P578" s="1981"/>
      <c r="Q578" s="1981"/>
      <c r="R578" s="1981"/>
      <c r="S578" s="14"/>
      <c r="T578" s="87" t="s">
        <v>118</v>
      </c>
      <c r="U578" s="12" t="s">
        <v>496</v>
      </c>
      <c r="Z578" s="1981" t="str">
        <f>C565</f>
        <v>Citibank - Const. Loan (Taxable Bonds)</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13" t="s">
        <v>2639</v>
      </c>
      <c r="H579" s="2013"/>
      <c r="I579" s="2013"/>
      <c r="J579" s="2013"/>
      <c r="K579" s="2013"/>
      <c r="L579" s="2013"/>
      <c r="M579" s="2013"/>
      <c r="N579" s="2013"/>
      <c r="O579" s="2013"/>
      <c r="P579" s="2013"/>
      <c r="Q579" s="2013"/>
      <c r="R579" s="2013"/>
      <c r="S579" s="14"/>
      <c r="T579" s="35"/>
      <c r="U579" s="12" t="s">
        <v>90</v>
      </c>
      <c r="Z579" s="2013" t="s">
        <v>2639</v>
      </c>
      <c r="AA579" s="2013"/>
      <c r="AB579" s="2013"/>
      <c r="AC579" s="2013"/>
      <c r="AD579" s="2013"/>
      <c r="AE579" s="2013"/>
      <c r="AF579" s="2013"/>
      <c r="AG579" s="2013"/>
      <c r="AH579" s="2013"/>
      <c r="AI579" s="2013"/>
      <c r="AJ579" s="2013"/>
      <c r="AK579" s="201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615</v>
      </c>
      <c r="G580" s="2013" t="s">
        <v>2640</v>
      </c>
      <c r="H580" s="2013"/>
      <c r="I580" s="2013"/>
      <c r="J580" s="2013"/>
      <c r="K580" s="2013"/>
      <c r="L580" s="2013"/>
      <c r="M580" s="2013"/>
      <c r="N580" s="2013"/>
      <c r="O580" s="2013"/>
      <c r="P580" s="2013"/>
      <c r="Q580" s="2013"/>
      <c r="R580" s="2013"/>
      <c r="S580" s="88"/>
      <c r="T580" s="35"/>
      <c r="U580" s="12" t="s">
        <v>615</v>
      </c>
      <c r="Z580" s="1993" t="s">
        <v>2640</v>
      </c>
      <c r="AA580" s="1993"/>
      <c r="AB580" s="1993"/>
      <c r="AC580" s="1993"/>
      <c r="AD580" s="1993"/>
      <c r="AE580" s="1993"/>
      <c r="AF580" s="1993"/>
      <c r="AG580" s="1993"/>
      <c r="AH580" s="1993"/>
      <c r="AI580" s="1993"/>
      <c r="AJ580" s="1993"/>
      <c r="AK580" s="199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2641</v>
      </c>
      <c r="H581" s="2013"/>
      <c r="I581" s="2013"/>
      <c r="J581" s="2013"/>
      <c r="K581" s="2013"/>
      <c r="L581" s="2013"/>
      <c r="M581" s="2013"/>
      <c r="N581" s="2013"/>
      <c r="O581" s="2013"/>
      <c r="P581" s="2013"/>
      <c r="Q581" s="2013"/>
      <c r="R581" s="2013"/>
      <c r="S581" s="14"/>
      <c r="T581" s="35"/>
      <c r="U581" s="12" t="s">
        <v>17</v>
      </c>
      <c r="Z581" s="1993" t="s">
        <v>2641</v>
      </c>
      <c r="AA581" s="1993"/>
      <c r="AB581" s="1993"/>
      <c r="AC581" s="1993"/>
      <c r="AD581" s="1993"/>
      <c r="AE581" s="1993"/>
      <c r="AF581" s="1993"/>
      <c r="AG581" s="1993"/>
      <c r="AH581" s="1993"/>
      <c r="AI581" s="1993"/>
      <c r="AJ581" s="1993"/>
      <c r="AK581" s="199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2" t="s">
        <v>2642</v>
      </c>
      <c r="H582" s="2034"/>
      <c r="I582" s="2034"/>
      <c r="J582" s="2034"/>
      <c r="K582" s="2034"/>
      <c r="L582" s="2034"/>
      <c r="O582" s="137" t="s">
        <v>212</v>
      </c>
      <c r="P582" s="1992"/>
      <c r="Q582" s="1992"/>
      <c r="R582" s="1992"/>
      <c r="S582" s="16"/>
      <c r="T582" s="35"/>
      <c r="U582" s="12" t="s">
        <v>325</v>
      </c>
      <c r="Z582" s="2262" t="s">
        <v>2642</v>
      </c>
      <c r="AA582" s="2034"/>
      <c r="AB582" s="2034"/>
      <c r="AC582" s="2034"/>
      <c r="AD582" s="2034"/>
      <c r="AE582" s="2034"/>
      <c r="AH582" s="137" t="s">
        <v>212</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2643</v>
      </c>
      <c r="I583" s="2013"/>
      <c r="J583" s="2013"/>
      <c r="K583" s="2013"/>
      <c r="L583" s="2013"/>
      <c r="M583" s="2013"/>
      <c r="N583" s="2013"/>
      <c r="O583" s="2013"/>
      <c r="P583" s="2013"/>
      <c r="Q583" s="2013"/>
      <c r="R583" s="2013"/>
      <c r="S583" s="14"/>
      <c r="T583" s="35"/>
      <c r="U583" s="12" t="s">
        <v>18</v>
      </c>
      <c r="AA583" s="2013" t="s">
        <v>2644</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23" t="s">
        <v>626</v>
      </c>
      <c r="N584" s="2023"/>
      <c r="O584" s="2023"/>
      <c r="P584" s="2023"/>
      <c r="Q584" s="2023"/>
      <c r="R584" s="2023"/>
      <c r="S584" s="14"/>
      <c r="T584" s="35"/>
      <c r="U584" s="507" t="s">
        <v>1381</v>
      </c>
      <c r="V584" s="717"/>
      <c r="W584" s="717"/>
      <c r="X584" s="717"/>
      <c r="Y584" s="717"/>
      <c r="Z584" s="717"/>
      <c r="AA584" s="14"/>
      <c r="AB584" s="14"/>
      <c r="AC584" s="14"/>
      <c r="AD584" s="14"/>
      <c r="AE584" s="14"/>
      <c r="AF584" s="2023" t="s">
        <v>626</v>
      </c>
      <c r="AG584" s="2023"/>
      <c r="AH584" s="2023"/>
      <c r="AI584" s="2023"/>
      <c r="AJ584" s="2023"/>
      <c r="AK584" s="202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578</v>
      </c>
      <c r="O585" s="1991"/>
      <c r="T585" s="35"/>
      <c r="U585" s="12" t="s">
        <v>20</v>
      </c>
      <c r="AG585" s="1991" t="s">
        <v>578</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1" t="str">
        <f>C566</f>
        <v>Pacific West Communities, Inc. - DDF</v>
      </c>
      <c r="H587" s="1981"/>
      <c r="I587" s="1981"/>
      <c r="J587" s="1981"/>
      <c r="K587" s="1981"/>
      <c r="L587" s="1981"/>
      <c r="M587" s="1981"/>
      <c r="N587" s="1981"/>
      <c r="O587" s="1981"/>
      <c r="P587" s="1981"/>
      <c r="Q587" s="1981"/>
      <c r="R587" s="1981"/>
      <c r="T587" s="87" t="s">
        <v>616</v>
      </c>
      <c r="U587" s="12" t="s">
        <v>496</v>
      </c>
      <c r="Z587" s="1981" t="str">
        <f>C567</f>
        <v>Elk Grove Laguna Pacific Assoc - Def. Costs</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3" t="s">
        <v>2536</v>
      </c>
      <c r="H588" s="2013"/>
      <c r="I588" s="2013"/>
      <c r="J588" s="2013"/>
      <c r="K588" s="2013"/>
      <c r="L588" s="2013"/>
      <c r="M588" s="2013"/>
      <c r="N588" s="2013"/>
      <c r="O588" s="2013"/>
      <c r="P588" s="2013"/>
      <c r="Q588" s="2013"/>
      <c r="R588" s="2013"/>
      <c r="T588" s="35"/>
      <c r="U588" s="12" t="s">
        <v>90</v>
      </c>
      <c r="Z588" s="2013" t="s">
        <v>2536</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3" t="s">
        <v>2568</v>
      </c>
      <c r="H589" s="1993"/>
      <c r="I589" s="1993"/>
      <c r="J589" s="1993"/>
      <c r="K589" s="1993"/>
      <c r="L589" s="1993"/>
      <c r="M589" s="1993"/>
      <c r="N589" s="1993"/>
      <c r="O589" s="1993"/>
      <c r="P589" s="1993"/>
      <c r="Q589" s="1993"/>
      <c r="R589" s="1993"/>
      <c r="T589" s="35"/>
      <c r="U589" s="12" t="s">
        <v>615</v>
      </c>
      <c r="Z589" s="1993" t="s">
        <v>2568</v>
      </c>
      <c r="AA589" s="1993"/>
      <c r="AB589" s="1993"/>
      <c r="AC589" s="1993"/>
      <c r="AD589" s="1993"/>
      <c r="AE589" s="1993"/>
      <c r="AF589" s="1993"/>
      <c r="AG589" s="1993"/>
      <c r="AH589" s="1993"/>
      <c r="AI589" s="1993"/>
      <c r="AJ589" s="1993"/>
      <c r="AK589" s="199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3" t="s">
        <v>2539</v>
      </c>
      <c r="H590" s="1993"/>
      <c r="I590" s="1993"/>
      <c r="J590" s="1993"/>
      <c r="K590" s="1993"/>
      <c r="L590" s="1993"/>
      <c r="M590" s="1993"/>
      <c r="N590" s="1993"/>
      <c r="O590" s="1993"/>
      <c r="P590" s="1993"/>
      <c r="Q590" s="1993"/>
      <c r="R590" s="1993"/>
      <c r="T590" s="35"/>
      <c r="U590" s="12" t="s">
        <v>17</v>
      </c>
      <c r="Z590" s="1993" t="s">
        <v>2539</v>
      </c>
      <c r="AA590" s="1993"/>
      <c r="AB590" s="1993"/>
      <c r="AC590" s="1993"/>
      <c r="AD590" s="1993"/>
      <c r="AE590" s="1993"/>
      <c r="AF590" s="1993"/>
      <c r="AG590" s="1993"/>
      <c r="AH590" s="1993"/>
      <c r="AI590" s="1993"/>
      <c r="AJ590" s="1993"/>
      <c r="AK590" s="199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2" t="s">
        <v>2540</v>
      </c>
      <c r="H591" s="2034"/>
      <c r="I591" s="2034"/>
      <c r="J591" s="2034"/>
      <c r="K591" s="2034"/>
      <c r="L591" s="2034"/>
      <c r="O591" s="137" t="s">
        <v>212</v>
      </c>
      <c r="P591" s="1992">
        <v>3015</v>
      </c>
      <c r="Q591" s="1992"/>
      <c r="R591" s="1992"/>
      <c r="T591" s="35"/>
      <c r="U591" s="12" t="s">
        <v>325</v>
      </c>
      <c r="Z591" s="2262" t="s">
        <v>2540</v>
      </c>
      <c r="AA591" s="2034"/>
      <c r="AB591" s="2034"/>
      <c r="AC591" s="2034"/>
      <c r="AD591" s="2034"/>
      <c r="AE591" s="2034"/>
      <c r="AH591" s="137" t="s">
        <v>212</v>
      </c>
      <c r="AI591" s="1992">
        <v>3015</v>
      </c>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2065</v>
      </c>
      <c r="I592" s="2013"/>
      <c r="J592" s="2013"/>
      <c r="K592" s="2013"/>
      <c r="L592" s="2013"/>
      <c r="M592" s="2013"/>
      <c r="N592" s="2013"/>
      <c r="O592" s="2013"/>
      <c r="P592" s="2013"/>
      <c r="Q592" s="2013"/>
      <c r="R592" s="2013"/>
      <c r="T592" s="35"/>
      <c r="U592" s="12" t="s">
        <v>18</v>
      </c>
      <c r="AA592" s="2013" t="s">
        <v>2645</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578</v>
      </c>
      <c r="O593" s="1991"/>
      <c r="T593" s="35"/>
      <c r="U593" s="12" t="s">
        <v>20</v>
      </c>
      <c r="AG593" s="1991" t="s">
        <v>578</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1" t="str">
        <f>C568</f>
        <v>Boston Financial - LIHTC Equity</v>
      </c>
      <c r="H595" s="1981"/>
      <c r="I595" s="1981"/>
      <c r="J595" s="1981"/>
      <c r="K595" s="1981"/>
      <c r="L595" s="1981"/>
      <c r="M595" s="1981"/>
      <c r="N595" s="1981"/>
      <c r="O595" s="1981"/>
      <c r="P595" s="1981"/>
      <c r="Q595" s="1981"/>
      <c r="R595" s="1981"/>
      <c r="T595" s="87" t="s">
        <v>619</v>
      </c>
      <c r="U595" s="12" t="s">
        <v>496</v>
      </c>
      <c r="Z595" s="1981">
        <f>C569</f>
        <v>0</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2596</v>
      </c>
      <c r="H596" s="2013"/>
      <c r="I596" s="2013"/>
      <c r="J596" s="2013"/>
      <c r="K596" s="2013"/>
      <c r="L596" s="2013"/>
      <c r="M596" s="2013"/>
      <c r="N596" s="2013"/>
      <c r="O596" s="2013"/>
      <c r="P596" s="2013"/>
      <c r="Q596" s="2013"/>
      <c r="R596" s="2013"/>
      <c r="T596" s="35"/>
      <c r="U596" s="12" t="s">
        <v>90</v>
      </c>
      <c r="Z596" s="2013"/>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3" t="s">
        <v>2597</v>
      </c>
      <c r="H597" s="2013"/>
      <c r="I597" s="2013"/>
      <c r="J597" s="2013"/>
      <c r="K597" s="2013"/>
      <c r="L597" s="2013"/>
      <c r="M597" s="2013"/>
      <c r="N597" s="2013"/>
      <c r="O597" s="2013"/>
      <c r="P597" s="2013"/>
      <c r="Q597" s="2013"/>
      <c r="R597" s="2013"/>
      <c r="T597" s="35"/>
      <c r="U597" s="12" t="s">
        <v>615</v>
      </c>
      <c r="Z597" s="1993"/>
      <c r="AA597" s="1993"/>
      <c r="AB597" s="1993"/>
      <c r="AC597" s="1993"/>
      <c r="AD597" s="1993"/>
      <c r="AE597" s="1993"/>
      <c r="AF597" s="1993"/>
      <c r="AG597" s="1993"/>
      <c r="AH597" s="1993"/>
      <c r="AI597" s="1993"/>
      <c r="AJ597" s="1993"/>
      <c r="AK597" s="199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3" t="s">
        <v>2598</v>
      </c>
      <c r="H598" s="2013"/>
      <c r="I598" s="2013"/>
      <c r="J598" s="2013"/>
      <c r="K598" s="2013"/>
      <c r="L598" s="2013"/>
      <c r="M598" s="2013"/>
      <c r="N598" s="2013"/>
      <c r="O598" s="2013"/>
      <c r="P598" s="2013"/>
      <c r="Q598" s="2013"/>
      <c r="R598" s="2013"/>
      <c r="T598" s="35"/>
      <c r="U598" s="12" t="s">
        <v>17</v>
      </c>
      <c r="Z598" s="1993"/>
      <c r="AA598" s="1993"/>
      <c r="AB598" s="1993"/>
      <c r="AC598" s="1993"/>
      <c r="AD598" s="1993"/>
      <c r="AE598" s="1993"/>
      <c r="AF598" s="1993"/>
      <c r="AG598" s="1993"/>
      <c r="AH598" s="1993"/>
      <c r="AI598" s="1993"/>
      <c r="AJ598" s="1993"/>
      <c r="AK598" s="199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2" t="s">
        <v>2599</v>
      </c>
      <c r="H599" s="2034"/>
      <c r="I599" s="2034"/>
      <c r="J599" s="2034"/>
      <c r="K599" s="2034"/>
      <c r="L599" s="2034"/>
      <c r="O599" s="137" t="s">
        <v>212</v>
      </c>
      <c r="P599" s="1992"/>
      <c r="Q599" s="1992"/>
      <c r="R599" s="1992"/>
      <c r="T599" s="35"/>
      <c r="U599" s="12" t="s">
        <v>325</v>
      </c>
      <c r="Z599" s="2034"/>
      <c r="AA599" s="2034"/>
      <c r="AB599" s="2034"/>
      <c r="AC599" s="2034"/>
      <c r="AD599" s="2034"/>
      <c r="AE599" s="2034"/>
      <c r="AH599" s="137" t="s">
        <v>212</v>
      </c>
      <c r="AI599" s="1992"/>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t="s">
        <v>2646</v>
      </c>
      <c r="I600" s="2013"/>
      <c r="J600" s="2013"/>
      <c r="K600" s="2013"/>
      <c r="L600" s="2013"/>
      <c r="M600" s="2013"/>
      <c r="N600" s="2013"/>
      <c r="O600" s="2013"/>
      <c r="P600" s="2013"/>
      <c r="Q600" s="2013"/>
      <c r="R600" s="2013"/>
      <c r="T600" s="35"/>
      <c r="U600" s="12" t="s">
        <v>18</v>
      </c>
      <c r="AA600" s="2013"/>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1" t="s">
        <v>706</v>
      </c>
      <c r="O601" s="1991"/>
      <c r="T601" s="35"/>
      <c r="U601" s="12" t="s">
        <v>20</v>
      </c>
      <c r="AG601" s="1991" t="s">
        <v>706</v>
      </c>
      <c r="AH601" s="1991"/>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487</v>
      </c>
      <c r="B603" s="12" t="s">
        <v>496</v>
      </c>
      <c r="G603" s="1981">
        <f>C570</f>
        <v>0</v>
      </c>
      <c r="H603" s="1981"/>
      <c r="I603" s="1981"/>
      <c r="J603" s="1981"/>
      <c r="K603" s="1981"/>
      <c r="L603" s="1981"/>
      <c r="M603" s="1981"/>
      <c r="N603" s="1981"/>
      <c r="O603" s="1981"/>
      <c r="P603" s="1981"/>
      <c r="Q603" s="1981"/>
      <c r="R603" s="1981"/>
      <c r="T603" s="87" t="s">
        <v>488</v>
      </c>
      <c r="U603" s="12" t="s">
        <v>496</v>
      </c>
      <c r="Z603" s="1981">
        <f>C571</f>
        <v>0</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13"/>
      <c r="H604" s="2013"/>
      <c r="I604" s="2013"/>
      <c r="J604" s="2013"/>
      <c r="K604" s="2013"/>
      <c r="L604" s="2013"/>
      <c r="M604" s="2013"/>
      <c r="N604" s="2013"/>
      <c r="O604" s="2013"/>
      <c r="P604" s="2013"/>
      <c r="Q604" s="2013"/>
      <c r="R604" s="2013"/>
      <c r="T604" s="35"/>
      <c r="U604" s="12" t="s">
        <v>90</v>
      </c>
      <c r="Z604" s="2013"/>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3"/>
      <c r="H605" s="2013"/>
      <c r="I605" s="2013"/>
      <c r="J605" s="2013"/>
      <c r="K605" s="2013"/>
      <c r="L605" s="2013"/>
      <c r="M605" s="2013"/>
      <c r="N605" s="2013"/>
      <c r="O605" s="2013"/>
      <c r="P605" s="2013"/>
      <c r="Q605" s="2013"/>
      <c r="R605" s="2013"/>
      <c r="T605" s="35"/>
      <c r="U605" s="12" t="s">
        <v>615</v>
      </c>
      <c r="Z605" s="1993"/>
      <c r="AA605" s="1993"/>
      <c r="AB605" s="1993"/>
      <c r="AC605" s="1993"/>
      <c r="AD605" s="1993"/>
      <c r="AE605" s="1993"/>
      <c r="AF605" s="1993"/>
      <c r="AG605" s="1993"/>
      <c r="AH605" s="1993"/>
      <c r="AI605" s="1993"/>
      <c r="AJ605" s="1993"/>
      <c r="AK605" s="199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13"/>
      <c r="H606" s="2013"/>
      <c r="I606" s="2013"/>
      <c r="J606" s="2013"/>
      <c r="K606" s="2013"/>
      <c r="L606" s="2013"/>
      <c r="M606" s="2013"/>
      <c r="N606" s="2013"/>
      <c r="O606" s="2013"/>
      <c r="P606" s="2013"/>
      <c r="Q606" s="2013"/>
      <c r="R606" s="2013"/>
      <c r="T606" s="35"/>
      <c r="U606" s="12" t="s">
        <v>17</v>
      </c>
      <c r="Z606" s="1993"/>
      <c r="AA606" s="1993"/>
      <c r="AB606" s="1993"/>
      <c r="AC606" s="1993"/>
      <c r="AD606" s="1993"/>
      <c r="AE606" s="1993"/>
      <c r="AF606" s="1993"/>
      <c r="AG606" s="1993"/>
      <c r="AH606" s="1993"/>
      <c r="AI606" s="1993"/>
      <c r="AJ606" s="1993"/>
      <c r="AK606" s="199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4"/>
      <c r="H607" s="2034"/>
      <c r="I607" s="2034"/>
      <c r="J607" s="2034"/>
      <c r="K607" s="2034"/>
      <c r="L607" s="2034"/>
      <c r="M607" s="12"/>
      <c r="N607" s="12"/>
      <c r="O607" s="137" t="s">
        <v>212</v>
      </c>
      <c r="P607" s="1992"/>
      <c r="Q607" s="1992"/>
      <c r="R607" s="1992"/>
      <c r="S607" s="12"/>
      <c r="T607" s="35"/>
      <c r="U607" s="12" t="s">
        <v>325</v>
      </c>
      <c r="V607" s="12"/>
      <c r="W607" s="12"/>
      <c r="X607" s="12"/>
      <c r="Y607" s="12"/>
      <c r="Z607" s="2034"/>
      <c r="AA607" s="2034"/>
      <c r="AB607" s="2034"/>
      <c r="AC607" s="2034"/>
      <c r="AD607" s="2034"/>
      <c r="AE607" s="2034"/>
      <c r="AF607" s="12"/>
      <c r="AG607" s="12"/>
      <c r="AH607" s="137" t="s">
        <v>212</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13"/>
      <c r="I608" s="2013"/>
      <c r="J608" s="2013"/>
      <c r="K608" s="2013"/>
      <c r="L608" s="2013"/>
      <c r="M608" s="2013"/>
      <c r="N608" s="2013"/>
      <c r="O608" s="2013"/>
      <c r="P608" s="2013"/>
      <c r="Q608" s="2013"/>
      <c r="R608" s="2013"/>
      <c r="S608" s="12"/>
      <c r="T608" s="35"/>
      <c r="U608" s="12" t="s">
        <v>18</v>
      </c>
      <c r="V608" s="12"/>
      <c r="W608" s="12"/>
      <c r="X608" s="12"/>
      <c r="Y608" s="12"/>
      <c r="Z608" s="12"/>
      <c r="AA608" s="2013"/>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1" t="s">
        <v>706</v>
      </c>
      <c r="O609" s="1991"/>
      <c r="P609" s="12"/>
      <c r="Q609" s="12"/>
      <c r="R609" s="12"/>
      <c r="S609" s="12"/>
      <c r="T609" s="35"/>
      <c r="U609" s="12" t="s">
        <v>20</v>
      </c>
      <c r="V609" s="12"/>
      <c r="W609" s="12"/>
      <c r="X609" s="12"/>
      <c r="Y609" s="12"/>
      <c r="Z609" s="12"/>
      <c r="AA609" s="12"/>
      <c r="AB609" s="12"/>
      <c r="AC609" s="12"/>
      <c r="AD609" s="12"/>
      <c r="AE609" s="12"/>
      <c r="AF609" s="12"/>
      <c r="AG609" s="1991" t="s">
        <v>706</v>
      </c>
      <c r="AH609" s="199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112" t="s">
        <v>668</v>
      </c>
      <c r="BO609" s="2113"/>
      <c r="BP609" s="2113"/>
      <c r="BQ609" s="2113"/>
      <c r="BR609" s="2114"/>
      <c r="BS609" s="2049" t="s">
        <v>334</v>
      </c>
      <c r="BT609" s="2049"/>
      <c r="BU609" s="2049"/>
      <c r="BV609" s="2049"/>
      <c r="BW609" s="2049"/>
      <c r="BX609" s="2049" t="s">
        <v>168</v>
      </c>
      <c r="BY609" s="2049"/>
      <c r="BZ609" s="2049"/>
      <c r="CA609" s="2049"/>
      <c r="CB609" s="2049"/>
      <c r="CC609" s="2049" t="s">
        <v>169</v>
      </c>
      <c r="CD609" s="2049"/>
      <c r="CE609" s="2049"/>
      <c r="CF609" s="2049"/>
      <c r="CG609" s="2049"/>
      <c r="CH609" s="2049" t="s">
        <v>493</v>
      </c>
      <c r="CI609" s="2049"/>
      <c r="CJ609" s="2049"/>
      <c r="CK609" s="2049"/>
      <c r="CL609" s="2049"/>
      <c r="CM609" s="2049" t="s">
        <v>31</v>
      </c>
      <c r="CN609" s="2049"/>
      <c r="CO609" s="2049"/>
      <c r="CP609" s="2049"/>
      <c r="CQ609" s="2049"/>
      <c r="CR609" s="1704"/>
      <c r="CS609" s="2049" t="s">
        <v>668</v>
      </c>
      <c r="CT609" s="2049"/>
      <c r="CU609" s="2049"/>
      <c r="CV609" s="2049"/>
      <c r="CW609" s="2049"/>
      <c r="CX609" s="2049" t="s">
        <v>334</v>
      </c>
      <c r="CY609" s="2049"/>
      <c r="CZ609" s="2049"/>
      <c r="DA609" s="2049"/>
      <c r="DB609" s="2049"/>
      <c r="DC609" s="2049" t="s">
        <v>168</v>
      </c>
      <c r="DD609" s="2049"/>
      <c r="DE609" s="2049"/>
      <c r="DF609" s="2049"/>
      <c r="DG609" s="2049"/>
      <c r="DH609" s="2049" t="s">
        <v>169</v>
      </c>
      <c r="DI609" s="2049"/>
      <c r="DJ609" s="2049"/>
      <c r="DK609" s="2049"/>
      <c r="DL609" s="2049"/>
      <c r="DM609" s="2049" t="s">
        <v>493</v>
      </c>
      <c r="DN609" s="2049"/>
      <c r="DO609" s="2049"/>
      <c r="DP609" s="2049"/>
      <c r="DQ609" s="2049"/>
      <c r="DR609" s="2049" t="s">
        <v>31</v>
      </c>
      <c r="DS609" s="2049"/>
      <c r="DT609" s="2049"/>
      <c r="DU609" s="2049"/>
      <c r="DV609" s="2049"/>
      <c r="DX609" s="2049" t="s">
        <v>668</v>
      </c>
      <c r="DY609" s="2049"/>
      <c r="DZ609" s="2049"/>
      <c r="EA609" s="2049"/>
      <c r="EB609" s="2049"/>
      <c r="EC609" s="2049" t="s">
        <v>334</v>
      </c>
      <c r="ED609" s="2049"/>
      <c r="EE609" s="2049"/>
      <c r="EF609" s="2049"/>
      <c r="EG609" s="2049"/>
      <c r="EH609" s="2049" t="s">
        <v>168</v>
      </c>
      <c r="EI609" s="2049"/>
      <c r="EJ609" s="2049"/>
      <c r="EK609" s="2049"/>
      <c r="EL609" s="2049"/>
      <c r="EM609" s="2049" t="s">
        <v>169</v>
      </c>
      <c r="EN609" s="2049"/>
      <c r="EO609" s="2049"/>
      <c r="EP609" s="2049"/>
      <c r="EQ609" s="2049"/>
      <c r="ER609" s="2049" t="s">
        <v>493</v>
      </c>
      <c r="ES609" s="2049"/>
      <c r="ET609" s="2049"/>
      <c r="EU609" s="2049"/>
      <c r="EV609" s="2049"/>
      <c r="EW609" s="2049" t="s">
        <v>31</v>
      </c>
      <c r="EX609" s="2049"/>
      <c r="EY609" s="2049"/>
      <c r="EZ609" s="2049"/>
      <c r="FA609" s="2049"/>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5">
        <f t="shared" ref="BE610:BE634" si="0">IF(AND(AH728&lt;=0.5,AH728&gt;=0.36),1,0)</f>
        <v>0</v>
      </c>
      <c r="BF610" s="1997"/>
      <c r="BG610" s="1977">
        <f t="shared" ref="BG610:BG634" si="1">IF(BE610=1,G728,0)</f>
        <v>0</v>
      </c>
      <c r="BH610" s="1979"/>
      <c r="BI610" s="1995">
        <f t="shared" ref="BI610:BI634" si="2">IF(AND(AH728&lt;=0.35,AH728&gt;0),1,0)</f>
        <v>1</v>
      </c>
      <c r="BJ610" s="1997"/>
      <c r="BK610" s="1977">
        <f t="shared" ref="BK610:BK634" si="3">IF(BI610=1,G728,0)</f>
        <v>5</v>
      </c>
      <c r="BL610" s="1979"/>
      <c r="BM610" s="58"/>
      <c r="BN610" s="1970">
        <f t="shared" ref="BN610:BN634" si="4">IF(B728="SRO/Studio",G728,0)</f>
        <v>5</v>
      </c>
      <c r="BO610" s="1971"/>
      <c r="BP610" s="1971"/>
      <c r="BQ610" s="1971"/>
      <c r="BR610" s="1972"/>
      <c r="BS610" s="1976">
        <f t="shared" ref="BS610:BS634" si="5">IF(B728="1 Bedroom",G728,0)</f>
        <v>0</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4">
        <f t="shared" ref="CS610:CS634" si="10">IF(AND(B728="SRO/Studio",AH728&lt;=0.3),G728,0)</f>
        <v>5</v>
      </c>
      <c r="CT610" s="1994"/>
      <c r="CU610" s="1994"/>
      <c r="CV610" s="1994"/>
      <c r="CW610" s="1994"/>
      <c r="CX610" s="1994">
        <f t="shared" ref="CX610:CX634" si="11">IF(AND(B728="1 Bedroom",AH728&lt;=0.3),G728,0)</f>
        <v>0</v>
      </c>
      <c r="CY610" s="1994"/>
      <c r="CZ610" s="1994"/>
      <c r="DA610" s="1994"/>
      <c r="DB610" s="1994"/>
      <c r="DC610" s="1994">
        <f t="shared" ref="DC610:DC634" si="12">IF(AND(B728="2 Bedrooms",AH728&lt;=0.3),G728,0)</f>
        <v>0</v>
      </c>
      <c r="DD610" s="1994"/>
      <c r="DE610" s="1994"/>
      <c r="DF610" s="1994"/>
      <c r="DG610" s="1994"/>
      <c r="DH610" s="1994">
        <f t="shared" ref="DH610:DH634" si="13">IF(AND(B728="3 Bedrooms",AH728&lt;=0.3),G728,0)</f>
        <v>0</v>
      </c>
      <c r="DI610" s="1994"/>
      <c r="DJ610" s="1994"/>
      <c r="DK610" s="1994"/>
      <c r="DL610" s="1994"/>
      <c r="DM610" s="1994">
        <f t="shared" ref="DM610:DM634" si="14">IF(AND(B728="4 Bedrooms",AH728&lt;=0.3),G728,0)</f>
        <v>0</v>
      </c>
      <c r="DN610" s="1994"/>
      <c r="DO610" s="1994"/>
      <c r="DP610" s="1994"/>
      <c r="DQ610" s="1994"/>
      <c r="DR610" s="1994">
        <f t="shared" ref="DR610:DR634" si="15">IF(AND(B728="5 Bedrooms",AH728&lt;=0.3),G728,0)</f>
        <v>0</v>
      </c>
      <c r="DS610" s="1994"/>
      <c r="DT610" s="1994"/>
      <c r="DU610" s="1994"/>
      <c r="DV610" s="1994"/>
      <c r="DX610" s="1995">
        <f t="shared" ref="DX610:DX634" si="16">IF(BN610&gt;0,O728," ")</f>
        <v>396</v>
      </c>
      <c r="DY610" s="1996"/>
      <c r="DZ610" s="1996"/>
      <c r="EA610" s="1996"/>
      <c r="EB610" s="1997"/>
      <c r="EC610" s="1995" t="str">
        <f t="shared" ref="EC610:EC634" si="17">IF(BS610&gt;0,O728," ")</f>
        <v xml:space="preserve"> </v>
      </c>
      <c r="ED610" s="1996"/>
      <c r="EE610" s="1996"/>
      <c r="EF610" s="1996"/>
      <c r="EG610" s="1997"/>
      <c r="EH610" s="1995" t="str">
        <f t="shared" ref="EH610:EH634" si="18">IF(BX610&gt;0,O728," ")</f>
        <v xml:space="preserve"> </v>
      </c>
      <c r="EI610" s="1996"/>
      <c r="EJ610" s="1996"/>
      <c r="EK610" s="1996"/>
      <c r="EL610" s="1997"/>
      <c r="EM610" s="1995" t="str">
        <f t="shared" ref="EM610:EM634" si="19">IF(CC610&gt;0,O728," ")</f>
        <v xml:space="preserve"> </v>
      </c>
      <c r="EN610" s="1996"/>
      <c r="EO610" s="1996"/>
      <c r="EP610" s="1996"/>
      <c r="EQ610" s="1997"/>
      <c r="ER610" s="1995" t="str">
        <f t="shared" ref="ER610:ER634" si="20">IF(CH610&gt;0,O728," ")</f>
        <v xml:space="preserve"> </v>
      </c>
      <c r="ES610" s="1996"/>
      <c r="ET610" s="1996"/>
      <c r="EU610" s="1996"/>
      <c r="EV610" s="1997"/>
      <c r="EW610" s="1995" t="str">
        <f t="shared" ref="EW610:EW634" si="21">IF(CM610&gt;0,O728," ")</f>
        <v xml:space="preserve"> </v>
      </c>
      <c r="EX610" s="1996"/>
      <c r="EY610" s="1996"/>
      <c r="EZ610" s="1996"/>
      <c r="FA610" s="1997"/>
    </row>
    <row r="611" spans="1:157" s="7" customFormat="1" ht="12.6">
      <c r="A611" s="87" t="s">
        <v>494</v>
      </c>
      <c r="B611" s="12" t="s">
        <v>496</v>
      </c>
      <c r="C611" s="12"/>
      <c r="D611" s="12"/>
      <c r="E611" s="12"/>
      <c r="F611" s="12"/>
      <c r="G611" s="1981">
        <f>C572</f>
        <v>0</v>
      </c>
      <c r="H611" s="1981"/>
      <c r="I611" s="1981"/>
      <c r="J611" s="1981"/>
      <c r="K611" s="1981"/>
      <c r="L611" s="1981"/>
      <c r="M611" s="1981"/>
      <c r="N611" s="1981"/>
      <c r="O611" s="1981"/>
      <c r="P611" s="1981"/>
      <c r="Q611" s="1981"/>
      <c r="R611" s="1981"/>
      <c r="S611" s="12"/>
      <c r="T611" s="87" t="s">
        <v>681</v>
      </c>
      <c r="U611" s="12" t="s">
        <v>496</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5">
        <f t="shared" si="0"/>
        <v>1</v>
      </c>
      <c r="BF611" s="1997"/>
      <c r="BG611" s="1977">
        <f t="shared" si="1"/>
        <v>5</v>
      </c>
      <c r="BH611" s="1979"/>
      <c r="BI611" s="1995">
        <f t="shared" si="2"/>
        <v>0</v>
      </c>
      <c r="BJ611" s="1997"/>
      <c r="BK611" s="1977">
        <f t="shared" si="3"/>
        <v>0</v>
      </c>
      <c r="BL611" s="1979"/>
      <c r="BM611" s="58"/>
      <c r="BN611" s="1970">
        <f t="shared" si="4"/>
        <v>5</v>
      </c>
      <c r="BO611" s="1971"/>
      <c r="BP611" s="1971"/>
      <c r="BQ611" s="1971"/>
      <c r="BR611" s="1972"/>
      <c r="BS611" s="1976">
        <f t="shared" si="5"/>
        <v>0</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4">
        <f t="shared" si="10"/>
        <v>0</v>
      </c>
      <c r="CT611" s="1994"/>
      <c r="CU611" s="1994"/>
      <c r="CV611" s="1994"/>
      <c r="CW611" s="1994"/>
      <c r="CX611" s="1994">
        <f t="shared" si="11"/>
        <v>0</v>
      </c>
      <c r="CY611" s="1994"/>
      <c r="CZ611" s="1994"/>
      <c r="DA611" s="1994"/>
      <c r="DB611" s="1994"/>
      <c r="DC611" s="1994">
        <f t="shared" si="12"/>
        <v>0</v>
      </c>
      <c r="DD611" s="1994"/>
      <c r="DE611" s="1994"/>
      <c r="DF611" s="1994"/>
      <c r="DG611" s="1994"/>
      <c r="DH611" s="1994">
        <f t="shared" si="13"/>
        <v>0</v>
      </c>
      <c r="DI611" s="1994"/>
      <c r="DJ611" s="1994"/>
      <c r="DK611" s="1994"/>
      <c r="DL611" s="1994"/>
      <c r="DM611" s="1994">
        <f t="shared" si="14"/>
        <v>0</v>
      </c>
      <c r="DN611" s="1994"/>
      <c r="DO611" s="1994"/>
      <c r="DP611" s="1994"/>
      <c r="DQ611" s="1994"/>
      <c r="DR611" s="1994">
        <f t="shared" si="15"/>
        <v>0</v>
      </c>
      <c r="DS611" s="1994"/>
      <c r="DT611" s="1994"/>
      <c r="DU611" s="1994"/>
      <c r="DV611" s="1994"/>
      <c r="DX611" s="1995">
        <f t="shared" si="16"/>
        <v>713</v>
      </c>
      <c r="DY611" s="1996"/>
      <c r="DZ611" s="1996"/>
      <c r="EA611" s="1996"/>
      <c r="EB611" s="1997"/>
      <c r="EC611" s="1995" t="str">
        <f t="shared" si="17"/>
        <v xml:space="preserve"> </v>
      </c>
      <c r="ED611" s="1996"/>
      <c r="EE611" s="1996"/>
      <c r="EF611" s="1996"/>
      <c r="EG611" s="1997"/>
      <c r="EH611" s="1995" t="str">
        <f t="shared" si="18"/>
        <v xml:space="preserve"> </v>
      </c>
      <c r="EI611" s="1996"/>
      <c r="EJ611" s="1996"/>
      <c r="EK611" s="1996"/>
      <c r="EL611" s="1997"/>
      <c r="EM611" s="1995" t="str">
        <f t="shared" si="19"/>
        <v xml:space="preserve"> </v>
      </c>
      <c r="EN611" s="1996"/>
      <c r="EO611" s="1996"/>
      <c r="EP611" s="1996"/>
      <c r="EQ611" s="1997"/>
      <c r="ER611" s="1995" t="str">
        <f t="shared" si="20"/>
        <v xml:space="preserve"> </v>
      </c>
      <c r="ES611" s="1996"/>
      <c r="ET611" s="1996"/>
      <c r="EU611" s="1996"/>
      <c r="EV611" s="1997"/>
      <c r="EW611" s="1995" t="str">
        <f t="shared" si="21"/>
        <v xml:space="preserve"> </v>
      </c>
      <c r="EX611" s="1996"/>
      <c r="EY611" s="1996"/>
      <c r="EZ611" s="1996"/>
      <c r="FA611" s="1997"/>
    </row>
    <row r="612" spans="1:157" ht="12.6">
      <c r="A612" s="35"/>
      <c r="B612" s="12" t="s">
        <v>90</v>
      </c>
      <c r="G612" s="2013"/>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95">
        <f t="shared" si="0"/>
        <v>0</v>
      </c>
      <c r="BF612" s="1997"/>
      <c r="BG612" s="1977">
        <f t="shared" si="1"/>
        <v>0</v>
      </c>
      <c r="BH612" s="1979"/>
      <c r="BI612" s="1995">
        <f t="shared" si="2"/>
        <v>0</v>
      </c>
      <c r="BJ612" s="1997"/>
      <c r="BK612" s="1977">
        <f t="shared" si="3"/>
        <v>0</v>
      </c>
      <c r="BL612" s="1979"/>
      <c r="BM612" s="58"/>
      <c r="BN612" s="1970">
        <f t="shared" si="4"/>
        <v>30</v>
      </c>
      <c r="BO612" s="1971"/>
      <c r="BP612" s="1971"/>
      <c r="BQ612" s="1971"/>
      <c r="BR612" s="1972"/>
      <c r="BS612" s="1976">
        <f t="shared" si="5"/>
        <v>0</v>
      </c>
      <c r="BT612" s="1976"/>
      <c r="BU612" s="1976"/>
      <c r="BV612" s="1976"/>
      <c r="BW612" s="1976"/>
      <c r="BX612" s="1976">
        <f t="shared" si="6"/>
        <v>0</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4">
        <f t="shared" si="10"/>
        <v>0</v>
      </c>
      <c r="CT612" s="1994"/>
      <c r="CU612" s="1994"/>
      <c r="CV612" s="1994"/>
      <c r="CW612" s="1994"/>
      <c r="CX612" s="1994">
        <f t="shared" si="11"/>
        <v>0</v>
      </c>
      <c r="CY612" s="1994"/>
      <c r="CZ612" s="1994"/>
      <c r="DA612" s="1994"/>
      <c r="DB612" s="1994"/>
      <c r="DC612" s="1994">
        <f t="shared" si="12"/>
        <v>0</v>
      </c>
      <c r="DD612" s="1994"/>
      <c r="DE612" s="1994"/>
      <c r="DF612" s="1994"/>
      <c r="DG612" s="1994"/>
      <c r="DH612" s="1994">
        <f t="shared" si="13"/>
        <v>0</v>
      </c>
      <c r="DI612" s="1994"/>
      <c r="DJ612" s="1994"/>
      <c r="DK612" s="1994"/>
      <c r="DL612" s="1994"/>
      <c r="DM612" s="1994">
        <f t="shared" si="14"/>
        <v>0</v>
      </c>
      <c r="DN612" s="1994"/>
      <c r="DO612" s="1994"/>
      <c r="DP612" s="1994"/>
      <c r="DQ612" s="1994"/>
      <c r="DR612" s="1994">
        <f t="shared" si="15"/>
        <v>0</v>
      </c>
      <c r="DS612" s="1994"/>
      <c r="DT612" s="1994"/>
      <c r="DU612" s="1994"/>
      <c r="DV612" s="1994"/>
      <c r="DX612" s="1995">
        <f t="shared" si="16"/>
        <v>872</v>
      </c>
      <c r="DY612" s="1996"/>
      <c r="DZ612" s="1996"/>
      <c r="EA612" s="1996"/>
      <c r="EB612" s="1997"/>
      <c r="EC612" s="1995" t="str">
        <f t="shared" si="17"/>
        <v xml:space="preserve"> </v>
      </c>
      <c r="ED612" s="1996"/>
      <c r="EE612" s="1996"/>
      <c r="EF612" s="1996"/>
      <c r="EG612" s="1997"/>
      <c r="EH612" s="1995" t="str">
        <f t="shared" si="18"/>
        <v xml:space="preserve"> </v>
      </c>
      <c r="EI612" s="1996"/>
      <c r="EJ612" s="1996"/>
      <c r="EK612" s="1996"/>
      <c r="EL612" s="1997"/>
      <c r="EM612" s="1995" t="str">
        <f t="shared" si="19"/>
        <v xml:space="preserve"> </v>
      </c>
      <c r="EN612" s="1996"/>
      <c r="EO612" s="1996"/>
      <c r="EP612" s="1996"/>
      <c r="EQ612" s="1997"/>
      <c r="ER612" s="1995" t="str">
        <f t="shared" si="20"/>
        <v xml:space="preserve"> </v>
      </c>
      <c r="ES612" s="1996"/>
      <c r="ET612" s="1996"/>
      <c r="EU612" s="1996"/>
      <c r="EV612" s="1997"/>
      <c r="EW612" s="1995" t="str">
        <f t="shared" si="21"/>
        <v xml:space="preserve"> </v>
      </c>
      <c r="EX612" s="1996"/>
      <c r="EY612" s="1996"/>
      <c r="EZ612" s="1996"/>
      <c r="FA612" s="1997"/>
    </row>
    <row r="613" spans="1:157" ht="12.6">
      <c r="A613" s="35"/>
      <c r="B613" s="12" t="s">
        <v>615</v>
      </c>
      <c r="G613" s="2013"/>
      <c r="H613" s="2013"/>
      <c r="I613" s="2013"/>
      <c r="J613" s="2013"/>
      <c r="K613" s="2013"/>
      <c r="L613" s="2013"/>
      <c r="M613" s="2013"/>
      <c r="N613" s="2013"/>
      <c r="O613" s="2013"/>
      <c r="P613" s="2013"/>
      <c r="Q613" s="2013"/>
      <c r="R613" s="2013"/>
      <c r="T613" s="35"/>
      <c r="U613" s="12" t="s">
        <v>615</v>
      </c>
      <c r="Z613" s="1993"/>
      <c r="AA613" s="1993"/>
      <c r="AB613" s="1993"/>
      <c r="AC613" s="1993"/>
      <c r="AD613" s="1993"/>
      <c r="AE613" s="1993"/>
      <c r="AF613" s="1993"/>
      <c r="AG613" s="1993"/>
      <c r="AH613" s="1993"/>
      <c r="AI613" s="1993"/>
      <c r="AJ613" s="1993"/>
      <c r="AK613" s="1993"/>
      <c r="BA613" s="7" t="s">
        <v>170</v>
      </c>
      <c r="BB613" s="58"/>
      <c r="BC613" s="58"/>
      <c r="BD613" s="58"/>
      <c r="BE613" s="1995">
        <f t="shared" si="0"/>
        <v>0</v>
      </c>
      <c r="BF613" s="1997"/>
      <c r="BG613" s="1977">
        <f t="shared" si="1"/>
        <v>0</v>
      </c>
      <c r="BH613" s="1979"/>
      <c r="BI613" s="1995">
        <f t="shared" si="2"/>
        <v>0</v>
      </c>
      <c r="BJ613" s="1997"/>
      <c r="BK613" s="1977">
        <f t="shared" si="3"/>
        <v>0</v>
      </c>
      <c r="BL613" s="1979"/>
      <c r="BM613" s="58"/>
      <c r="BN613" s="1970">
        <f t="shared" si="4"/>
        <v>10</v>
      </c>
      <c r="BO613" s="1971"/>
      <c r="BP613" s="1971"/>
      <c r="BQ613" s="1971"/>
      <c r="BR613" s="1972"/>
      <c r="BS613" s="1976">
        <f t="shared" si="5"/>
        <v>0</v>
      </c>
      <c r="BT613" s="1976"/>
      <c r="BU613" s="1976"/>
      <c r="BV613" s="1976"/>
      <c r="BW613" s="1976"/>
      <c r="BX613" s="1976">
        <f t="shared" si="6"/>
        <v>0</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1994">
        <f t="shared" si="10"/>
        <v>0</v>
      </c>
      <c r="CT613" s="1994"/>
      <c r="CU613" s="1994"/>
      <c r="CV613" s="1994"/>
      <c r="CW613" s="1994"/>
      <c r="CX613" s="1994">
        <f t="shared" si="11"/>
        <v>0</v>
      </c>
      <c r="CY613" s="1994"/>
      <c r="CZ613" s="1994"/>
      <c r="DA613" s="1994"/>
      <c r="DB613" s="1994"/>
      <c r="DC613" s="1994">
        <f t="shared" si="12"/>
        <v>0</v>
      </c>
      <c r="DD613" s="1994"/>
      <c r="DE613" s="1994"/>
      <c r="DF613" s="1994"/>
      <c r="DG613" s="1994"/>
      <c r="DH613" s="1994">
        <f t="shared" si="13"/>
        <v>0</v>
      </c>
      <c r="DI613" s="1994"/>
      <c r="DJ613" s="1994"/>
      <c r="DK613" s="1994"/>
      <c r="DL613" s="1994"/>
      <c r="DM613" s="1994">
        <f t="shared" si="14"/>
        <v>0</v>
      </c>
      <c r="DN613" s="1994"/>
      <c r="DO613" s="1994"/>
      <c r="DP613" s="1994"/>
      <c r="DQ613" s="1994"/>
      <c r="DR613" s="1994">
        <f t="shared" si="15"/>
        <v>0</v>
      </c>
      <c r="DS613" s="1994"/>
      <c r="DT613" s="1994"/>
      <c r="DU613" s="1994"/>
      <c r="DV613" s="1994"/>
      <c r="DX613" s="1995">
        <f t="shared" si="16"/>
        <v>1190</v>
      </c>
      <c r="DY613" s="1996"/>
      <c r="DZ613" s="1996"/>
      <c r="EA613" s="1996"/>
      <c r="EB613" s="1997"/>
      <c r="EC613" s="1995" t="str">
        <f t="shared" si="17"/>
        <v xml:space="preserve"> </v>
      </c>
      <c r="ED613" s="1996"/>
      <c r="EE613" s="1996"/>
      <c r="EF613" s="1996"/>
      <c r="EG613" s="1997"/>
      <c r="EH613" s="1995" t="str">
        <f t="shared" si="18"/>
        <v xml:space="preserve"> </v>
      </c>
      <c r="EI613" s="1996"/>
      <c r="EJ613" s="1996"/>
      <c r="EK613" s="1996"/>
      <c r="EL613" s="1997"/>
      <c r="EM613" s="1995" t="str">
        <f t="shared" si="19"/>
        <v xml:space="preserve"> </v>
      </c>
      <c r="EN613" s="1996"/>
      <c r="EO613" s="1996"/>
      <c r="EP613" s="1996"/>
      <c r="EQ613" s="1997"/>
      <c r="ER613" s="1995" t="str">
        <f t="shared" si="20"/>
        <v xml:space="preserve"> </v>
      </c>
      <c r="ES613" s="1996"/>
      <c r="ET613" s="1996"/>
      <c r="EU613" s="1996"/>
      <c r="EV613" s="1997"/>
      <c r="EW613" s="1995" t="str">
        <f t="shared" si="21"/>
        <v xml:space="preserve"> </v>
      </c>
      <c r="EX613" s="1996"/>
      <c r="EY613" s="1996"/>
      <c r="EZ613" s="1996"/>
      <c r="FA613" s="1997"/>
    </row>
    <row r="614" spans="1:157" ht="12.6">
      <c r="A614" s="35"/>
      <c r="B614" s="12" t="s">
        <v>17</v>
      </c>
      <c r="G614" s="2013"/>
      <c r="H614" s="2013"/>
      <c r="I614" s="2013"/>
      <c r="J614" s="2013"/>
      <c r="K614" s="2013"/>
      <c r="L614" s="2013"/>
      <c r="M614" s="2013"/>
      <c r="N614" s="2013"/>
      <c r="O614" s="2013"/>
      <c r="P614" s="2013"/>
      <c r="Q614" s="2013"/>
      <c r="R614" s="2013"/>
      <c r="T614" s="35"/>
      <c r="U614" s="12" t="s">
        <v>17</v>
      </c>
      <c r="Z614" s="1993"/>
      <c r="AA614" s="1993"/>
      <c r="AB614" s="1993"/>
      <c r="AC614" s="1993"/>
      <c r="AD614" s="1993"/>
      <c r="AE614" s="1993"/>
      <c r="AF614" s="1993"/>
      <c r="AG614" s="1993"/>
      <c r="AH614" s="1993"/>
      <c r="AI614" s="1993"/>
      <c r="AJ614" s="1993"/>
      <c r="AK614" s="1993"/>
      <c r="BA614" s="7" t="s">
        <v>31</v>
      </c>
      <c r="BB614" s="58"/>
      <c r="BC614" s="58"/>
      <c r="BD614" s="58"/>
      <c r="BE614" s="1995">
        <f t="shared" si="0"/>
        <v>0</v>
      </c>
      <c r="BF614" s="1997"/>
      <c r="BG614" s="1977">
        <f t="shared" si="1"/>
        <v>0</v>
      </c>
      <c r="BH614" s="1979"/>
      <c r="BI614" s="1995">
        <f t="shared" si="2"/>
        <v>1</v>
      </c>
      <c r="BJ614" s="1997"/>
      <c r="BK614" s="1977">
        <f t="shared" si="3"/>
        <v>10</v>
      </c>
      <c r="BL614" s="1979"/>
      <c r="BM614" s="58"/>
      <c r="BN614" s="1970">
        <f t="shared" si="4"/>
        <v>0</v>
      </c>
      <c r="BO614" s="1971"/>
      <c r="BP614" s="1971"/>
      <c r="BQ614" s="1971"/>
      <c r="BR614" s="1972"/>
      <c r="BS614" s="1976">
        <f t="shared" si="5"/>
        <v>10</v>
      </c>
      <c r="BT614" s="1976"/>
      <c r="BU614" s="1976"/>
      <c r="BV614" s="1976"/>
      <c r="BW614" s="1976"/>
      <c r="BX614" s="1976">
        <f t="shared" si="6"/>
        <v>0</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4">
        <f t="shared" si="10"/>
        <v>0</v>
      </c>
      <c r="CT614" s="1994"/>
      <c r="CU614" s="1994"/>
      <c r="CV614" s="1994"/>
      <c r="CW614" s="1994"/>
      <c r="CX614" s="1994">
        <f t="shared" si="11"/>
        <v>10</v>
      </c>
      <c r="CY614" s="1994"/>
      <c r="CZ614" s="1994"/>
      <c r="DA614" s="1994"/>
      <c r="DB614" s="1994"/>
      <c r="DC614" s="1994">
        <f t="shared" si="12"/>
        <v>0</v>
      </c>
      <c r="DD614" s="1994"/>
      <c r="DE614" s="1994"/>
      <c r="DF614" s="1994"/>
      <c r="DG614" s="1994"/>
      <c r="DH614" s="1994">
        <f t="shared" si="13"/>
        <v>0</v>
      </c>
      <c r="DI614" s="1994"/>
      <c r="DJ614" s="1994"/>
      <c r="DK614" s="1994"/>
      <c r="DL614" s="1994"/>
      <c r="DM614" s="1994">
        <f t="shared" si="14"/>
        <v>0</v>
      </c>
      <c r="DN614" s="1994"/>
      <c r="DO614" s="1994"/>
      <c r="DP614" s="1994"/>
      <c r="DQ614" s="1994"/>
      <c r="DR614" s="1994">
        <f t="shared" si="15"/>
        <v>0</v>
      </c>
      <c r="DS614" s="1994"/>
      <c r="DT614" s="1994"/>
      <c r="DU614" s="1994"/>
      <c r="DV614" s="1994"/>
      <c r="DX614" s="1995" t="str">
        <f t="shared" si="16"/>
        <v xml:space="preserve"> </v>
      </c>
      <c r="DY614" s="1996"/>
      <c r="DZ614" s="1996"/>
      <c r="EA614" s="1996"/>
      <c r="EB614" s="1997"/>
      <c r="EC614" s="1995">
        <f t="shared" si="17"/>
        <v>419</v>
      </c>
      <c r="ED614" s="1996"/>
      <c r="EE614" s="1996"/>
      <c r="EF614" s="1996"/>
      <c r="EG614" s="1997"/>
      <c r="EH614" s="1995" t="str">
        <f t="shared" si="18"/>
        <v xml:space="preserve"> </v>
      </c>
      <c r="EI614" s="1996"/>
      <c r="EJ614" s="1996"/>
      <c r="EK614" s="1996"/>
      <c r="EL614" s="1997"/>
      <c r="EM614" s="1995" t="str">
        <f t="shared" si="19"/>
        <v xml:space="preserve"> </v>
      </c>
      <c r="EN614" s="1996"/>
      <c r="EO614" s="1996"/>
      <c r="EP614" s="1996"/>
      <c r="EQ614" s="1997"/>
      <c r="ER614" s="1995" t="str">
        <f t="shared" si="20"/>
        <v xml:space="preserve"> </v>
      </c>
      <c r="ES614" s="1996"/>
      <c r="ET614" s="1996"/>
      <c r="EU614" s="1996"/>
      <c r="EV614" s="1997"/>
      <c r="EW614" s="1995" t="str">
        <f t="shared" si="21"/>
        <v xml:space="preserve"> </v>
      </c>
      <c r="EX614" s="1996"/>
      <c r="EY614" s="1996"/>
      <c r="EZ614" s="1996"/>
      <c r="FA614" s="1997"/>
    </row>
    <row r="615" spans="1:157" ht="12.6">
      <c r="A615" s="35"/>
      <c r="B615" s="12" t="s">
        <v>325</v>
      </c>
      <c r="G615" s="2034"/>
      <c r="H615" s="2034"/>
      <c r="I615" s="2034"/>
      <c r="J615" s="2034"/>
      <c r="K615" s="2034"/>
      <c r="L615" s="2034"/>
      <c r="O615" s="137" t="s">
        <v>212</v>
      </c>
      <c r="P615" s="1992"/>
      <c r="Q615" s="1992"/>
      <c r="R615" s="1992"/>
      <c r="T615" s="35"/>
      <c r="U615" s="12" t="s">
        <v>325</v>
      </c>
      <c r="Z615" s="2034"/>
      <c r="AA615" s="2034"/>
      <c r="AB615" s="2034"/>
      <c r="AC615" s="2034"/>
      <c r="AD615" s="2034"/>
      <c r="AE615" s="2034"/>
      <c r="AH615" s="137" t="s">
        <v>212</v>
      </c>
      <c r="AI615" s="1992"/>
      <c r="AJ615" s="1992"/>
      <c r="AK615" s="1992"/>
      <c r="AZ615" s="58"/>
      <c r="BA615" s="58"/>
      <c r="BB615" s="58"/>
      <c r="BC615" s="58"/>
      <c r="BD615" s="58"/>
      <c r="BE615" s="1995">
        <f t="shared" si="0"/>
        <v>1</v>
      </c>
      <c r="BF615" s="1997"/>
      <c r="BG615" s="1977">
        <f t="shared" si="1"/>
        <v>10</v>
      </c>
      <c r="BH615" s="1979"/>
      <c r="BI615" s="1995">
        <f t="shared" si="2"/>
        <v>0</v>
      </c>
      <c r="BJ615" s="1997"/>
      <c r="BK615" s="1977">
        <f t="shared" si="3"/>
        <v>0</v>
      </c>
      <c r="BL615" s="1979"/>
      <c r="BM615" s="58"/>
      <c r="BN615" s="1970">
        <f t="shared" si="4"/>
        <v>0</v>
      </c>
      <c r="BO615" s="1971"/>
      <c r="BP615" s="1971"/>
      <c r="BQ615" s="1971"/>
      <c r="BR615" s="1972"/>
      <c r="BS615" s="1976">
        <f t="shared" si="5"/>
        <v>10</v>
      </c>
      <c r="BT615" s="1976"/>
      <c r="BU615" s="1976"/>
      <c r="BV615" s="1976"/>
      <c r="BW615" s="1976"/>
      <c r="BX615" s="1976">
        <f t="shared" si="6"/>
        <v>0</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4">
        <f t="shared" si="10"/>
        <v>0</v>
      </c>
      <c r="CT615" s="1994"/>
      <c r="CU615" s="1994"/>
      <c r="CV615" s="1994"/>
      <c r="CW615" s="1994"/>
      <c r="CX615" s="1994">
        <f t="shared" si="11"/>
        <v>0</v>
      </c>
      <c r="CY615" s="1994"/>
      <c r="CZ615" s="1994"/>
      <c r="DA615" s="1994"/>
      <c r="DB615" s="1994"/>
      <c r="DC615" s="1994">
        <f t="shared" si="12"/>
        <v>0</v>
      </c>
      <c r="DD615" s="1994"/>
      <c r="DE615" s="1994"/>
      <c r="DF615" s="1994"/>
      <c r="DG615" s="1994"/>
      <c r="DH615" s="1994">
        <f t="shared" si="13"/>
        <v>0</v>
      </c>
      <c r="DI615" s="1994"/>
      <c r="DJ615" s="1994"/>
      <c r="DK615" s="1994"/>
      <c r="DL615" s="1994"/>
      <c r="DM615" s="1994">
        <f t="shared" si="14"/>
        <v>0</v>
      </c>
      <c r="DN615" s="1994"/>
      <c r="DO615" s="1994"/>
      <c r="DP615" s="1994"/>
      <c r="DQ615" s="1994"/>
      <c r="DR615" s="1994">
        <f t="shared" si="15"/>
        <v>0</v>
      </c>
      <c r="DS615" s="1994"/>
      <c r="DT615" s="1994"/>
      <c r="DU615" s="1994"/>
      <c r="DV615" s="1994"/>
      <c r="DX615" s="1995" t="str">
        <f t="shared" si="16"/>
        <v xml:space="preserve"> </v>
      </c>
      <c r="DY615" s="1996"/>
      <c r="DZ615" s="1996"/>
      <c r="EA615" s="1996"/>
      <c r="EB615" s="1997"/>
      <c r="EC615" s="1995">
        <f t="shared" si="17"/>
        <v>759</v>
      </c>
      <c r="ED615" s="1996"/>
      <c r="EE615" s="1996"/>
      <c r="EF615" s="1996"/>
      <c r="EG615" s="1997"/>
      <c r="EH615" s="1995" t="str">
        <f t="shared" si="18"/>
        <v xml:space="preserve"> </v>
      </c>
      <c r="EI615" s="1996"/>
      <c r="EJ615" s="1996"/>
      <c r="EK615" s="1996"/>
      <c r="EL615" s="1997"/>
      <c r="EM615" s="1995" t="str">
        <f t="shared" si="19"/>
        <v xml:space="preserve"> </v>
      </c>
      <c r="EN615" s="1996"/>
      <c r="EO615" s="1996"/>
      <c r="EP615" s="1996"/>
      <c r="EQ615" s="1997"/>
      <c r="ER615" s="1995" t="str">
        <f t="shared" si="20"/>
        <v xml:space="preserve"> </v>
      </c>
      <c r="ES615" s="1996"/>
      <c r="ET615" s="1996"/>
      <c r="EU615" s="1996"/>
      <c r="EV615" s="1997"/>
      <c r="EW615" s="1995" t="str">
        <f t="shared" si="21"/>
        <v xml:space="preserve"> </v>
      </c>
      <c r="EX615" s="1996"/>
      <c r="EY615" s="1996"/>
      <c r="EZ615" s="1996"/>
      <c r="FA615" s="1997"/>
    </row>
    <row r="616" spans="1:157" ht="12.6">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1995">
        <f t="shared" si="0"/>
        <v>0</v>
      </c>
      <c r="BF616" s="1997"/>
      <c r="BG616" s="1977">
        <f t="shared" si="1"/>
        <v>0</v>
      </c>
      <c r="BH616" s="1979"/>
      <c r="BI616" s="1995">
        <f t="shared" si="2"/>
        <v>0</v>
      </c>
      <c r="BJ616" s="1997"/>
      <c r="BK616" s="1977">
        <f t="shared" si="3"/>
        <v>0</v>
      </c>
      <c r="BL616" s="1979"/>
      <c r="BM616" s="58"/>
      <c r="BN616" s="1970">
        <f t="shared" si="4"/>
        <v>0</v>
      </c>
      <c r="BO616" s="1971"/>
      <c r="BP616" s="1971"/>
      <c r="BQ616" s="1971"/>
      <c r="BR616" s="1972"/>
      <c r="BS616" s="1976">
        <f t="shared" si="5"/>
        <v>55</v>
      </c>
      <c r="BT616" s="1976"/>
      <c r="BU616" s="1976"/>
      <c r="BV616" s="1976"/>
      <c r="BW616" s="1976"/>
      <c r="BX616" s="1976">
        <f t="shared" si="6"/>
        <v>0</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4">
        <f t="shared" si="10"/>
        <v>0</v>
      </c>
      <c r="CT616" s="1994"/>
      <c r="CU616" s="1994"/>
      <c r="CV616" s="1994"/>
      <c r="CW616" s="1994"/>
      <c r="CX616" s="1994">
        <f t="shared" si="11"/>
        <v>0</v>
      </c>
      <c r="CY616" s="1994"/>
      <c r="CZ616" s="1994"/>
      <c r="DA616" s="1994"/>
      <c r="DB616" s="1994"/>
      <c r="DC616" s="1994">
        <f t="shared" si="12"/>
        <v>0</v>
      </c>
      <c r="DD616" s="1994"/>
      <c r="DE616" s="1994"/>
      <c r="DF616" s="1994"/>
      <c r="DG616" s="1994"/>
      <c r="DH616" s="1994">
        <f t="shared" si="13"/>
        <v>0</v>
      </c>
      <c r="DI616" s="1994"/>
      <c r="DJ616" s="1994"/>
      <c r="DK616" s="1994"/>
      <c r="DL616" s="1994"/>
      <c r="DM616" s="1994">
        <f t="shared" si="14"/>
        <v>0</v>
      </c>
      <c r="DN616" s="1994"/>
      <c r="DO616" s="1994"/>
      <c r="DP616" s="1994"/>
      <c r="DQ616" s="1994"/>
      <c r="DR616" s="1994">
        <f t="shared" si="15"/>
        <v>0</v>
      </c>
      <c r="DS616" s="1994"/>
      <c r="DT616" s="1994"/>
      <c r="DU616" s="1994"/>
      <c r="DV616" s="1994"/>
      <c r="DX616" s="1995" t="str">
        <f t="shared" si="16"/>
        <v xml:space="preserve"> </v>
      </c>
      <c r="DY616" s="1996"/>
      <c r="DZ616" s="1996"/>
      <c r="EA616" s="1996"/>
      <c r="EB616" s="1997"/>
      <c r="EC616" s="1995">
        <f t="shared" si="17"/>
        <v>929</v>
      </c>
      <c r="ED616" s="1996"/>
      <c r="EE616" s="1996"/>
      <c r="EF616" s="1996"/>
      <c r="EG616" s="1997"/>
      <c r="EH616" s="1995" t="str">
        <f t="shared" si="18"/>
        <v xml:space="preserve"> </v>
      </c>
      <c r="EI616" s="1996"/>
      <c r="EJ616" s="1996"/>
      <c r="EK616" s="1996"/>
      <c r="EL616" s="1997"/>
      <c r="EM616" s="1995" t="str">
        <f t="shared" si="19"/>
        <v xml:space="preserve"> </v>
      </c>
      <c r="EN616" s="1996"/>
      <c r="EO616" s="1996"/>
      <c r="EP616" s="1996"/>
      <c r="EQ616" s="1997"/>
      <c r="ER616" s="1995" t="str">
        <f t="shared" si="20"/>
        <v xml:space="preserve"> </v>
      </c>
      <c r="ES616" s="1996"/>
      <c r="ET616" s="1996"/>
      <c r="EU616" s="1996"/>
      <c r="EV616" s="1997"/>
      <c r="EW616" s="1995" t="str">
        <f t="shared" si="21"/>
        <v xml:space="preserve"> </v>
      </c>
      <c r="EX616" s="1996"/>
      <c r="EY616" s="1996"/>
      <c r="EZ616" s="1996"/>
      <c r="FA616" s="1997"/>
    </row>
    <row r="617" spans="1:157" ht="12.6">
      <c r="A617" s="35"/>
      <c r="B617" s="12" t="s">
        <v>20</v>
      </c>
      <c r="N617" s="1991" t="s">
        <v>706</v>
      </c>
      <c r="O617" s="1991"/>
      <c r="T617" s="35"/>
      <c r="U617" s="12" t="s">
        <v>20</v>
      </c>
      <c r="AG617" s="1991" t="s">
        <v>706</v>
      </c>
      <c r="AH617" s="1991"/>
      <c r="AZ617" s="58"/>
      <c r="BA617" s="58"/>
      <c r="BB617" s="58"/>
      <c r="BC617" s="58"/>
      <c r="BD617" s="58"/>
      <c r="BE617" s="1995">
        <f t="shared" si="0"/>
        <v>0</v>
      </c>
      <c r="BF617" s="1997"/>
      <c r="BG617" s="1977">
        <f t="shared" si="1"/>
        <v>0</v>
      </c>
      <c r="BH617" s="1979"/>
      <c r="BI617" s="1995">
        <f t="shared" si="2"/>
        <v>0</v>
      </c>
      <c r="BJ617" s="1997"/>
      <c r="BK617" s="1977">
        <f t="shared" si="3"/>
        <v>0</v>
      </c>
      <c r="BL617" s="1979"/>
      <c r="BM617" s="58"/>
      <c r="BN617" s="1970">
        <f t="shared" si="4"/>
        <v>0</v>
      </c>
      <c r="BO617" s="1971"/>
      <c r="BP617" s="1971"/>
      <c r="BQ617" s="1971"/>
      <c r="BR617" s="1972"/>
      <c r="BS617" s="1976">
        <f t="shared" si="5"/>
        <v>18</v>
      </c>
      <c r="BT617" s="1976"/>
      <c r="BU617" s="1976"/>
      <c r="BV617" s="1976"/>
      <c r="BW617" s="1976"/>
      <c r="BX617" s="1976">
        <f t="shared" si="6"/>
        <v>0</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1994">
        <f t="shared" si="10"/>
        <v>0</v>
      </c>
      <c r="CT617" s="1994"/>
      <c r="CU617" s="1994"/>
      <c r="CV617" s="1994"/>
      <c r="CW617" s="1994"/>
      <c r="CX617" s="1994">
        <f t="shared" si="11"/>
        <v>0</v>
      </c>
      <c r="CY617" s="1994"/>
      <c r="CZ617" s="1994"/>
      <c r="DA617" s="1994"/>
      <c r="DB617" s="1994"/>
      <c r="DC617" s="1994">
        <f t="shared" si="12"/>
        <v>0</v>
      </c>
      <c r="DD617" s="1994"/>
      <c r="DE617" s="1994"/>
      <c r="DF617" s="1994"/>
      <c r="DG617" s="1994"/>
      <c r="DH617" s="1994">
        <f t="shared" si="13"/>
        <v>0</v>
      </c>
      <c r="DI617" s="1994"/>
      <c r="DJ617" s="1994"/>
      <c r="DK617" s="1994"/>
      <c r="DL617" s="1994"/>
      <c r="DM617" s="1994">
        <f t="shared" si="14"/>
        <v>0</v>
      </c>
      <c r="DN617" s="1994"/>
      <c r="DO617" s="1994"/>
      <c r="DP617" s="1994"/>
      <c r="DQ617" s="1994"/>
      <c r="DR617" s="1994">
        <f t="shared" si="15"/>
        <v>0</v>
      </c>
      <c r="DS617" s="1994"/>
      <c r="DT617" s="1994"/>
      <c r="DU617" s="1994"/>
      <c r="DV617" s="1994"/>
      <c r="DX617" s="1995" t="str">
        <f t="shared" si="16"/>
        <v xml:space="preserve"> </v>
      </c>
      <c r="DY617" s="1996"/>
      <c r="DZ617" s="1996"/>
      <c r="EA617" s="1996"/>
      <c r="EB617" s="1997"/>
      <c r="EC617" s="1995">
        <f t="shared" si="17"/>
        <v>1269</v>
      </c>
      <c r="ED617" s="1996"/>
      <c r="EE617" s="1996"/>
      <c r="EF617" s="1996"/>
      <c r="EG617" s="1997"/>
      <c r="EH617" s="1995" t="str">
        <f t="shared" si="18"/>
        <v xml:space="preserve"> </v>
      </c>
      <c r="EI617" s="1996"/>
      <c r="EJ617" s="1996"/>
      <c r="EK617" s="1996"/>
      <c r="EL617" s="1997"/>
      <c r="EM617" s="1995" t="str">
        <f t="shared" si="19"/>
        <v xml:space="preserve"> </v>
      </c>
      <c r="EN617" s="1996"/>
      <c r="EO617" s="1996"/>
      <c r="EP617" s="1996"/>
      <c r="EQ617" s="1997"/>
      <c r="ER617" s="1995" t="str">
        <f t="shared" si="20"/>
        <v xml:space="preserve"> </v>
      </c>
      <c r="ES617" s="1996"/>
      <c r="ET617" s="1996"/>
      <c r="EU617" s="1996"/>
      <c r="EV617" s="1997"/>
      <c r="EW617" s="1995" t="str">
        <f t="shared" si="21"/>
        <v xml:space="preserve"> </v>
      </c>
      <c r="EX617" s="1996"/>
      <c r="EY617" s="1996"/>
      <c r="EZ617" s="1996"/>
      <c r="FA617" s="1997"/>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0"/>
        <v>0</v>
      </c>
      <c r="BF618" s="1997"/>
      <c r="BG618" s="1977">
        <f t="shared" si="1"/>
        <v>0</v>
      </c>
      <c r="BH618" s="1979"/>
      <c r="BI618" s="1995">
        <f t="shared" si="2"/>
        <v>1</v>
      </c>
      <c r="BJ618" s="1997"/>
      <c r="BK618" s="1977">
        <f t="shared" si="3"/>
        <v>8</v>
      </c>
      <c r="BL618" s="1979"/>
      <c r="BM618" s="58"/>
      <c r="BN618" s="1970">
        <f t="shared" si="4"/>
        <v>0</v>
      </c>
      <c r="BO618" s="1971"/>
      <c r="BP618" s="1971"/>
      <c r="BQ618" s="1971"/>
      <c r="BR618" s="1972"/>
      <c r="BS618" s="1976">
        <f t="shared" si="5"/>
        <v>0</v>
      </c>
      <c r="BT618" s="1976"/>
      <c r="BU618" s="1976"/>
      <c r="BV618" s="1976"/>
      <c r="BW618" s="1976"/>
      <c r="BX618" s="1976">
        <f t="shared" si="6"/>
        <v>8</v>
      </c>
      <c r="BY618" s="1976"/>
      <c r="BZ618" s="1976"/>
      <c r="CA618" s="1976"/>
      <c r="CB618" s="1976"/>
      <c r="CC618" s="1976">
        <f t="shared" si="7"/>
        <v>0</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4">
        <f t="shared" si="10"/>
        <v>0</v>
      </c>
      <c r="CT618" s="1994"/>
      <c r="CU618" s="1994"/>
      <c r="CV618" s="1994"/>
      <c r="CW618" s="1994"/>
      <c r="CX618" s="1994">
        <f t="shared" si="11"/>
        <v>0</v>
      </c>
      <c r="CY618" s="1994"/>
      <c r="CZ618" s="1994"/>
      <c r="DA618" s="1994"/>
      <c r="DB618" s="1994"/>
      <c r="DC618" s="1994">
        <f t="shared" si="12"/>
        <v>8</v>
      </c>
      <c r="DD618" s="1994"/>
      <c r="DE618" s="1994"/>
      <c r="DF618" s="1994"/>
      <c r="DG618" s="1994"/>
      <c r="DH618" s="1994">
        <f t="shared" si="13"/>
        <v>0</v>
      </c>
      <c r="DI618" s="1994"/>
      <c r="DJ618" s="1994"/>
      <c r="DK618" s="1994"/>
      <c r="DL618" s="1994"/>
      <c r="DM618" s="1994">
        <f t="shared" si="14"/>
        <v>0</v>
      </c>
      <c r="DN618" s="1994"/>
      <c r="DO618" s="1994"/>
      <c r="DP618" s="1994"/>
      <c r="DQ618" s="1994"/>
      <c r="DR618" s="1994">
        <f t="shared" si="15"/>
        <v>0</v>
      </c>
      <c r="DS618" s="1994"/>
      <c r="DT618" s="1994"/>
      <c r="DU618" s="1994"/>
      <c r="DV618" s="1994"/>
      <c r="DX618" s="1995" t="str">
        <f t="shared" si="16"/>
        <v xml:space="preserve"> </v>
      </c>
      <c r="DY618" s="1996"/>
      <c r="DZ618" s="1996"/>
      <c r="EA618" s="1996"/>
      <c r="EB618" s="1997"/>
      <c r="EC618" s="1995" t="str">
        <f t="shared" si="17"/>
        <v xml:space="preserve"> </v>
      </c>
      <c r="ED618" s="1996"/>
      <c r="EE618" s="1996"/>
      <c r="EF618" s="1996"/>
      <c r="EG618" s="1997"/>
      <c r="EH618" s="1995">
        <f t="shared" si="18"/>
        <v>498</v>
      </c>
      <c r="EI618" s="1996"/>
      <c r="EJ618" s="1996"/>
      <c r="EK618" s="1996"/>
      <c r="EL618" s="1997"/>
      <c r="EM618" s="1995" t="str">
        <f t="shared" si="19"/>
        <v xml:space="preserve"> </v>
      </c>
      <c r="EN618" s="1996"/>
      <c r="EO618" s="1996"/>
      <c r="EP618" s="1996"/>
      <c r="EQ618" s="1997"/>
      <c r="ER618" s="1995" t="str">
        <f t="shared" si="20"/>
        <v xml:space="preserve"> </v>
      </c>
      <c r="ES618" s="1996"/>
      <c r="ET618" s="1996"/>
      <c r="EU618" s="1996"/>
      <c r="EV618" s="1997"/>
      <c r="EW618" s="1995" t="str">
        <f t="shared" si="21"/>
        <v xml:space="preserve"> </v>
      </c>
      <c r="EX618" s="1996"/>
      <c r="EY618" s="1996"/>
      <c r="EZ618" s="1996"/>
      <c r="FA618" s="1997"/>
    </row>
    <row r="619" spans="1:157" s="7" customFormat="1" ht="12.6">
      <c r="A619" s="87" t="s">
        <v>372</v>
      </c>
      <c r="B619" s="12" t="s">
        <v>496</v>
      </c>
      <c r="C619" s="12"/>
      <c r="D619" s="12"/>
      <c r="E619" s="12"/>
      <c r="F619" s="12"/>
      <c r="G619" s="1981">
        <f>C574</f>
        <v>0</v>
      </c>
      <c r="H619" s="1981"/>
      <c r="I619" s="1981"/>
      <c r="J619" s="1981"/>
      <c r="K619" s="1981"/>
      <c r="L619" s="1981"/>
      <c r="M619" s="1981"/>
      <c r="N619" s="1981"/>
      <c r="O619" s="1981"/>
      <c r="P619" s="1981"/>
      <c r="Q619" s="1981"/>
      <c r="R619" s="1981"/>
      <c r="S619" s="12"/>
      <c r="T619" s="87" t="s">
        <v>373</v>
      </c>
      <c r="U619" s="12" t="s">
        <v>496</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5">
        <f t="shared" si="0"/>
        <v>1</v>
      </c>
      <c r="BF619" s="1997"/>
      <c r="BG619" s="1977">
        <f t="shared" si="1"/>
        <v>8</v>
      </c>
      <c r="BH619" s="1979"/>
      <c r="BI619" s="1995">
        <f t="shared" si="2"/>
        <v>0</v>
      </c>
      <c r="BJ619" s="1997"/>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8</v>
      </c>
      <c r="BY619" s="1976"/>
      <c r="BZ619" s="1976"/>
      <c r="CA619" s="1976"/>
      <c r="CB619" s="1976"/>
      <c r="CC619" s="1976">
        <f t="shared" si="7"/>
        <v>0</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4">
        <f t="shared" si="10"/>
        <v>0</v>
      </c>
      <c r="CT619" s="1994"/>
      <c r="CU619" s="1994"/>
      <c r="CV619" s="1994"/>
      <c r="CW619" s="1994"/>
      <c r="CX619" s="1994">
        <f t="shared" si="11"/>
        <v>0</v>
      </c>
      <c r="CY619" s="1994"/>
      <c r="CZ619" s="1994"/>
      <c r="DA619" s="1994"/>
      <c r="DB619" s="1994"/>
      <c r="DC619" s="1994">
        <f t="shared" si="12"/>
        <v>0</v>
      </c>
      <c r="DD619" s="1994"/>
      <c r="DE619" s="1994"/>
      <c r="DF619" s="1994"/>
      <c r="DG619" s="1994"/>
      <c r="DH619" s="1994">
        <f t="shared" si="13"/>
        <v>0</v>
      </c>
      <c r="DI619" s="1994"/>
      <c r="DJ619" s="1994"/>
      <c r="DK619" s="1994"/>
      <c r="DL619" s="1994"/>
      <c r="DM619" s="1994">
        <f t="shared" si="14"/>
        <v>0</v>
      </c>
      <c r="DN619" s="1994"/>
      <c r="DO619" s="1994"/>
      <c r="DP619" s="1994"/>
      <c r="DQ619" s="1994"/>
      <c r="DR619" s="1994">
        <f t="shared" si="15"/>
        <v>0</v>
      </c>
      <c r="DS619" s="1994"/>
      <c r="DT619" s="1994"/>
      <c r="DU619" s="1994"/>
      <c r="DV619" s="1994"/>
      <c r="DX619" s="1995" t="str">
        <f t="shared" si="16"/>
        <v xml:space="preserve"> </v>
      </c>
      <c r="DY619" s="1996"/>
      <c r="DZ619" s="1996"/>
      <c r="EA619" s="1996"/>
      <c r="EB619" s="1997"/>
      <c r="EC619" s="1995" t="str">
        <f t="shared" si="17"/>
        <v xml:space="preserve"> </v>
      </c>
      <c r="ED619" s="1996"/>
      <c r="EE619" s="1996"/>
      <c r="EF619" s="1996"/>
      <c r="EG619" s="1997"/>
      <c r="EH619" s="1995">
        <f t="shared" si="18"/>
        <v>906</v>
      </c>
      <c r="EI619" s="1996"/>
      <c r="EJ619" s="1996"/>
      <c r="EK619" s="1996"/>
      <c r="EL619" s="1997"/>
      <c r="EM619" s="1995" t="str">
        <f t="shared" si="19"/>
        <v xml:space="preserve"> </v>
      </c>
      <c r="EN619" s="1996"/>
      <c r="EO619" s="1996"/>
      <c r="EP619" s="1996"/>
      <c r="EQ619" s="1997"/>
      <c r="ER619" s="1995" t="str">
        <f t="shared" si="20"/>
        <v xml:space="preserve"> </v>
      </c>
      <c r="ES619" s="1996"/>
      <c r="ET619" s="1996"/>
      <c r="EU619" s="1996"/>
      <c r="EV619" s="1997"/>
      <c r="EW619" s="1995" t="str">
        <f t="shared" si="21"/>
        <v xml:space="preserve"> </v>
      </c>
      <c r="EX619" s="1996"/>
      <c r="EY619" s="1996"/>
      <c r="EZ619" s="1996"/>
      <c r="FA619" s="1997"/>
    </row>
    <row r="620" spans="1:157" s="7" customFormat="1" ht="12.6">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95">
        <f t="shared" si="0"/>
        <v>0</v>
      </c>
      <c r="BF620" s="1997"/>
      <c r="BG620" s="1977">
        <f t="shared" si="1"/>
        <v>0</v>
      </c>
      <c r="BH620" s="1979"/>
      <c r="BI620" s="1995">
        <f t="shared" si="2"/>
        <v>0</v>
      </c>
      <c r="BJ620" s="1997"/>
      <c r="BK620" s="1977">
        <f t="shared" si="3"/>
        <v>0</v>
      </c>
      <c r="BL620" s="1979"/>
      <c r="BM620" s="58"/>
      <c r="BN620" s="1970">
        <f t="shared" si="4"/>
        <v>0</v>
      </c>
      <c r="BO620" s="1971"/>
      <c r="BP620" s="1971"/>
      <c r="BQ620" s="1971"/>
      <c r="BR620" s="1972"/>
      <c r="BS620" s="1976">
        <f t="shared" si="5"/>
        <v>0</v>
      </c>
      <c r="BT620" s="1976"/>
      <c r="BU620" s="1976"/>
      <c r="BV620" s="1976"/>
      <c r="BW620" s="1976"/>
      <c r="BX620" s="1976">
        <f t="shared" si="6"/>
        <v>44</v>
      </c>
      <c r="BY620" s="1976"/>
      <c r="BZ620" s="1976"/>
      <c r="CA620" s="1976"/>
      <c r="CB620" s="1976"/>
      <c r="CC620" s="1976">
        <f t="shared" si="7"/>
        <v>0</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4">
        <f t="shared" si="10"/>
        <v>0</v>
      </c>
      <c r="CT620" s="1994"/>
      <c r="CU620" s="1994"/>
      <c r="CV620" s="1994"/>
      <c r="CW620" s="1994"/>
      <c r="CX620" s="1994">
        <f t="shared" si="11"/>
        <v>0</v>
      </c>
      <c r="CY620" s="1994"/>
      <c r="CZ620" s="1994"/>
      <c r="DA620" s="1994"/>
      <c r="DB620" s="1994"/>
      <c r="DC620" s="1994">
        <f t="shared" si="12"/>
        <v>0</v>
      </c>
      <c r="DD620" s="1994"/>
      <c r="DE620" s="1994"/>
      <c r="DF620" s="1994"/>
      <c r="DG620" s="1994"/>
      <c r="DH620" s="1994">
        <f t="shared" si="13"/>
        <v>0</v>
      </c>
      <c r="DI620" s="1994"/>
      <c r="DJ620" s="1994"/>
      <c r="DK620" s="1994"/>
      <c r="DL620" s="1994"/>
      <c r="DM620" s="1994">
        <f t="shared" si="14"/>
        <v>0</v>
      </c>
      <c r="DN620" s="1994"/>
      <c r="DO620" s="1994"/>
      <c r="DP620" s="1994"/>
      <c r="DQ620" s="1994"/>
      <c r="DR620" s="1994">
        <f t="shared" si="15"/>
        <v>0</v>
      </c>
      <c r="DS620" s="1994"/>
      <c r="DT620" s="1994"/>
      <c r="DU620" s="1994"/>
      <c r="DV620" s="1994"/>
      <c r="DX620" s="1995" t="str">
        <f t="shared" si="16"/>
        <v xml:space="preserve"> </v>
      </c>
      <c r="DY620" s="1996"/>
      <c r="DZ620" s="1996"/>
      <c r="EA620" s="1996"/>
      <c r="EB620" s="1997"/>
      <c r="EC620" s="1995" t="str">
        <f t="shared" si="17"/>
        <v xml:space="preserve"> </v>
      </c>
      <c r="ED620" s="1996"/>
      <c r="EE620" s="1996"/>
      <c r="EF620" s="1996"/>
      <c r="EG620" s="1997"/>
      <c r="EH620" s="1995">
        <f t="shared" si="18"/>
        <v>1110</v>
      </c>
      <c r="EI620" s="1996"/>
      <c r="EJ620" s="1996"/>
      <c r="EK620" s="1996"/>
      <c r="EL620" s="1997"/>
      <c r="EM620" s="1995" t="str">
        <f t="shared" si="19"/>
        <v xml:space="preserve"> </v>
      </c>
      <c r="EN620" s="1996"/>
      <c r="EO620" s="1996"/>
      <c r="EP620" s="1996"/>
      <c r="EQ620" s="1997"/>
      <c r="ER620" s="1995" t="str">
        <f t="shared" si="20"/>
        <v xml:space="preserve"> </v>
      </c>
      <c r="ES620" s="1996"/>
      <c r="ET620" s="1996"/>
      <c r="EU620" s="1996"/>
      <c r="EV620" s="1997"/>
      <c r="EW620" s="1995" t="str">
        <f t="shared" si="21"/>
        <v xml:space="preserve"> </v>
      </c>
      <c r="EX620" s="1996"/>
      <c r="EY620" s="1996"/>
      <c r="EZ620" s="1996"/>
      <c r="FA620" s="1997"/>
    </row>
    <row r="621" spans="1:157" ht="12.6">
      <c r="B621" s="12" t="s">
        <v>615</v>
      </c>
      <c r="G621" s="2013"/>
      <c r="H621" s="2013"/>
      <c r="I621" s="2013"/>
      <c r="J621" s="2013"/>
      <c r="K621" s="2013"/>
      <c r="L621" s="2013"/>
      <c r="M621" s="2013"/>
      <c r="N621" s="2013"/>
      <c r="O621" s="2013"/>
      <c r="P621" s="2013"/>
      <c r="Q621" s="2013"/>
      <c r="R621" s="2013"/>
      <c r="U621" s="12" t="s">
        <v>615</v>
      </c>
      <c r="Z621" s="1993"/>
      <c r="AA621" s="1993"/>
      <c r="AB621" s="1993"/>
      <c r="AC621" s="1993"/>
      <c r="AD621" s="1993"/>
      <c r="AE621" s="1993"/>
      <c r="AF621" s="1993"/>
      <c r="AG621" s="1993"/>
      <c r="AH621" s="1993"/>
      <c r="AI621" s="1993"/>
      <c r="AJ621" s="1993"/>
      <c r="AK621" s="1993"/>
      <c r="AZ621" s="58"/>
      <c r="BA621" s="58"/>
      <c r="BB621" s="58"/>
      <c r="BC621" s="58"/>
      <c r="BD621" s="58"/>
      <c r="BE621" s="1995">
        <f t="shared" si="0"/>
        <v>0</v>
      </c>
      <c r="BF621" s="1997"/>
      <c r="BG621" s="1977">
        <f t="shared" si="1"/>
        <v>0</v>
      </c>
      <c r="BH621" s="1979"/>
      <c r="BI621" s="1995">
        <f t="shared" si="2"/>
        <v>0</v>
      </c>
      <c r="BJ621" s="1997"/>
      <c r="BK621" s="1977">
        <f t="shared" si="3"/>
        <v>0</v>
      </c>
      <c r="BL621" s="1979"/>
      <c r="BM621" s="58"/>
      <c r="BN621" s="1970">
        <f t="shared" si="4"/>
        <v>0</v>
      </c>
      <c r="BO621" s="1971"/>
      <c r="BP621" s="1971"/>
      <c r="BQ621" s="1971"/>
      <c r="BR621" s="1972"/>
      <c r="BS621" s="1976">
        <f t="shared" si="5"/>
        <v>0</v>
      </c>
      <c r="BT621" s="1976"/>
      <c r="BU621" s="1976"/>
      <c r="BV621" s="1976"/>
      <c r="BW621" s="1976"/>
      <c r="BX621" s="1976">
        <f t="shared" si="6"/>
        <v>13</v>
      </c>
      <c r="BY621" s="1976"/>
      <c r="BZ621" s="1976"/>
      <c r="CA621" s="1976"/>
      <c r="CB621" s="1976"/>
      <c r="CC621" s="1976">
        <f t="shared" si="7"/>
        <v>0</v>
      </c>
      <c r="CD621" s="1976"/>
      <c r="CE621" s="1976"/>
      <c r="CF621" s="1976"/>
      <c r="CG621" s="1976"/>
      <c r="CH621" s="1976">
        <f t="shared" si="8"/>
        <v>0</v>
      </c>
      <c r="CI621" s="1976"/>
      <c r="CJ621" s="1976"/>
      <c r="CK621" s="1976"/>
      <c r="CL621" s="1976"/>
      <c r="CM621" s="1976">
        <f t="shared" si="9"/>
        <v>0</v>
      </c>
      <c r="CN621" s="1976"/>
      <c r="CO621" s="1976"/>
      <c r="CP621" s="1976"/>
      <c r="CQ621" s="1976"/>
      <c r="CR621" s="265"/>
      <c r="CS621" s="1994">
        <f t="shared" si="10"/>
        <v>0</v>
      </c>
      <c r="CT621" s="1994"/>
      <c r="CU621" s="1994"/>
      <c r="CV621" s="1994"/>
      <c r="CW621" s="1994"/>
      <c r="CX621" s="1994">
        <f t="shared" si="11"/>
        <v>0</v>
      </c>
      <c r="CY621" s="1994"/>
      <c r="CZ621" s="1994"/>
      <c r="DA621" s="1994"/>
      <c r="DB621" s="1994"/>
      <c r="DC621" s="1994">
        <f t="shared" si="12"/>
        <v>0</v>
      </c>
      <c r="DD621" s="1994"/>
      <c r="DE621" s="1994"/>
      <c r="DF621" s="1994"/>
      <c r="DG621" s="1994"/>
      <c r="DH621" s="1994">
        <f t="shared" si="13"/>
        <v>0</v>
      </c>
      <c r="DI621" s="1994"/>
      <c r="DJ621" s="1994"/>
      <c r="DK621" s="1994"/>
      <c r="DL621" s="1994"/>
      <c r="DM621" s="1994">
        <f t="shared" si="14"/>
        <v>0</v>
      </c>
      <c r="DN621" s="1994"/>
      <c r="DO621" s="1994"/>
      <c r="DP621" s="1994"/>
      <c r="DQ621" s="1994"/>
      <c r="DR621" s="1994">
        <f t="shared" si="15"/>
        <v>0</v>
      </c>
      <c r="DS621" s="1994"/>
      <c r="DT621" s="1994"/>
      <c r="DU621" s="1994"/>
      <c r="DV621" s="1994"/>
      <c r="DX621" s="1995" t="str">
        <f t="shared" si="16"/>
        <v xml:space="preserve"> </v>
      </c>
      <c r="DY621" s="1996"/>
      <c r="DZ621" s="1996"/>
      <c r="EA621" s="1996"/>
      <c r="EB621" s="1997"/>
      <c r="EC621" s="1995" t="str">
        <f t="shared" si="17"/>
        <v xml:space="preserve"> </v>
      </c>
      <c r="ED621" s="1996"/>
      <c r="EE621" s="1996"/>
      <c r="EF621" s="1996"/>
      <c r="EG621" s="1997"/>
      <c r="EH621" s="1995">
        <f t="shared" si="18"/>
        <v>1518</v>
      </c>
      <c r="EI621" s="1996"/>
      <c r="EJ621" s="1996"/>
      <c r="EK621" s="1996"/>
      <c r="EL621" s="1997"/>
      <c r="EM621" s="1995" t="str">
        <f t="shared" si="19"/>
        <v xml:space="preserve"> </v>
      </c>
      <c r="EN621" s="1996"/>
      <c r="EO621" s="1996"/>
      <c r="EP621" s="1996"/>
      <c r="EQ621" s="1997"/>
      <c r="ER621" s="1995" t="str">
        <f t="shared" si="20"/>
        <v xml:space="preserve"> </v>
      </c>
      <c r="ES621" s="1996"/>
      <c r="ET621" s="1996"/>
      <c r="EU621" s="1996"/>
      <c r="EV621" s="1997"/>
      <c r="EW621" s="1995" t="str">
        <f t="shared" si="21"/>
        <v xml:space="preserve"> </v>
      </c>
      <c r="EX621" s="1996"/>
      <c r="EY621" s="1996"/>
      <c r="EZ621" s="1996"/>
      <c r="FA621" s="1997"/>
    </row>
    <row r="622" spans="1:157" ht="12.6">
      <c r="B622" s="12" t="s">
        <v>17</v>
      </c>
      <c r="G622" s="2013"/>
      <c r="H622" s="2013"/>
      <c r="I622" s="2013"/>
      <c r="J622" s="2013"/>
      <c r="K622" s="2013"/>
      <c r="L622" s="2013"/>
      <c r="M622" s="2013"/>
      <c r="N622" s="2013"/>
      <c r="O622" s="2013"/>
      <c r="P622" s="2013"/>
      <c r="Q622" s="2013"/>
      <c r="R622" s="2013"/>
      <c r="U622" s="12" t="s">
        <v>17</v>
      </c>
      <c r="Z622" s="1993"/>
      <c r="AA622" s="1993"/>
      <c r="AB622" s="1993"/>
      <c r="AC622" s="1993"/>
      <c r="AD622" s="1993"/>
      <c r="AE622" s="1993"/>
      <c r="AF622" s="1993"/>
      <c r="AG622" s="1993"/>
      <c r="AH622" s="1993"/>
      <c r="AI622" s="1993"/>
      <c r="AJ622" s="1993"/>
      <c r="AK622" s="1993"/>
      <c r="AZ622" s="58"/>
      <c r="BA622" s="58"/>
      <c r="BB622" s="58"/>
      <c r="BC622" s="58"/>
      <c r="BD622" s="58"/>
      <c r="BE622" s="1995">
        <f t="shared" si="0"/>
        <v>0</v>
      </c>
      <c r="BF622" s="1997"/>
      <c r="BG622" s="1977">
        <f t="shared" si="1"/>
        <v>0</v>
      </c>
      <c r="BH622" s="1979"/>
      <c r="BI622" s="1995">
        <f t="shared" si="2"/>
        <v>1</v>
      </c>
      <c r="BJ622" s="1997"/>
      <c r="BK622" s="1977">
        <f t="shared" si="3"/>
        <v>7</v>
      </c>
      <c r="BL622" s="1979"/>
      <c r="BM622" s="58"/>
      <c r="BN622" s="1970">
        <f t="shared" si="4"/>
        <v>0</v>
      </c>
      <c r="BO622" s="1971"/>
      <c r="BP622" s="1971"/>
      <c r="BQ622" s="1971"/>
      <c r="BR622" s="1972"/>
      <c r="BS622" s="1976">
        <f t="shared" si="5"/>
        <v>0</v>
      </c>
      <c r="BT622" s="1976"/>
      <c r="BU622" s="1976"/>
      <c r="BV622" s="1976"/>
      <c r="BW622" s="1976"/>
      <c r="BX622" s="1976">
        <f t="shared" si="6"/>
        <v>0</v>
      </c>
      <c r="BY622" s="1976"/>
      <c r="BZ622" s="1976"/>
      <c r="CA622" s="1976"/>
      <c r="CB622" s="1976"/>
      <c r="CC622" s="1976">
        <f t="shared" si="7"/>
        <v>7</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4">
        <f t="shared" si="10"/>
        <v>0</v>
      </c>
      <c r="CT622" s="1994"/>
      <c r="CU622" s="1994"/>
      <c r="CV622" s="1994"/>
      <c r="CW622" s="1994"/>
      <c r="CX622" s="1994">
        <f t="shared" si="11"/>
        <v>0</v>
      </c>
      <c r="CY622" s="1994"/>
      <c r="CZ622" s="1994"/>
      <c r="DA622" s="1994"/>
      <c r="DB622" s="1994"/>
      <c r="DC622" s="1994">
        <f t="shared" si="12"/>
        <v>0</v>
      </c>
      <c r="DD622" s="1994"/>
      <c r="DE622" s="1994"/>
      <c r="DF622" s="1994"/>
      <c r="DG622" s="1994"/>
      <c r="DH622" s="1994">
        <f t="shared" si="13"/>
        <v>7</v>
      </c>
      <c r="DI622" s="1994"/>
      <c r="DJ622" s="1994"/>
      <c r="DK622" s="1994"/>
      <c r="DL622" s="1994"/>
      <c r="DM622" s="1994">
        <f t="shared" si="14"/>
        <v>0</v>
      </c>
      <c r="DN622" s="1994"/>
      <c r="DO622" s="1994"/>
      <c r="DP622" s="1994"/>
      <c r="DQ622" s="1994"/>
      <c r="DR622" s="1994">
        <f t="shared" si="15"/>
        <v>0</v>
      </c>
      <c r="DS622" s="1994"/>
      <c r="DT622" s="1994"/>
      <c r="DU622" s="1994"/>
      <c r="DV622" s="1994"/>
      <c r="DX622" s="1995" t="str">
        <f t="shared" si="16"/>
        <v xml:space="preserve"> </v>
      </c>
      <c r="DY622" s="1996"/>
      <c r="DZ622" s="1996"/>
      <c r="EA622" s="1996"/>
      <c r="EB622" s="1997"/>
      <c r="EC622" s="1995" t="str">
        <f t="shared" si="17"/>
        <v xml:space="preserve"> </v>
      </c>
      <c r="ED622" s="1996"/>
      <c r="EE622" s="1996"/>
      <c r="EF622" s="1996"/>
      <c r="EG622" s="1997"/>
      <c r="EH622" s="1995" t="str">
        <f t="shared" si="18"/>
        <v xml:space="preserve"> </v>
      </c>
      <c r="EI622" s="1996"/>
      <c r="EJ622" s="1996"/>
      <c r="EK622" s="1996"/>
      <c r="EL622" s="1997"/>
      <c r="EM622" s="1995">
        <f t="shared" si="19"/>
        <v>567</v>
      </c>
      <c r="EN622" s="1996"/>
      <c r="EO622" s="1996"/>
      <c r="EP622" s="1996"/>
      <c r="EQ622" s="1997"/>
      <c r="ER622" s="1995" t="str">
        <f t="shared" si="20"/>
        <v xml:space="preserve"> </v>
      </c>
      <c r="ES622" s="1996"/>
      <c r="ET622" s="1996"/>
      <c r="EU622" s="1996"/>
      <c r="EV622" s="1997"/>
      <c r="EW622" s="1995" t="str">
        <f t="shared" si="21"/>
        <v xml:space="preserve"> </v>
      </c>
      <c r="EX622" s="1996"/>
      <c r="EY622" s="1996"/>
      <c r="EZ622" s="1996"/>
      <c r="FA622" s="1997"/>
    </row>
    <row r="623" spans="1:157" ht="12.6">
      <c r="B623" s="12" t="s">
        <v>325</v>
      </c>
      <c r="G623" s="2034"/>
      <c r="H623" s="2034"/>
      <c r="I623" s="2034"/>
      <c r="J623" s="2034"/>
      <c r="K623" s="2034"/>
      <c r="L623" s="2034"/>
      <c r="O623" s="137" t="s">
        <v>212</v>
      </c>
      <c r="P623" s="1992"/>
      <c r="Q623" s="1992"/>
      <c r="R623" s="1992"/>
      <c r="U623" s="12" t="s">
        <v>325</v>
      </c>
      <c r="Z623" s="2034"/>
      <c r="AA623" s="2034"/>
      <c r="AB623" s="2034"/>
      <c r="AC623" s="2034"/>
      <c r="AD623" s="2034"/>
      <c r="AE623" s="2034"/>
      <c r="AH623" s="137" t="s">
        <v>212</v>
      </c>
      <c r="AI623" s="1992"/>
      <c r="AJ623" s="1992"/>
      <c r="AK623" s="1992"/>
      <c r="AZ623" s="58"/>
      <c r="BA623" s="58"/>
      <c r="BB623" s="58"/>
      <c r="BC623" s="58"/>
      <c r="BD623" s="58"/>
      <c r="BE623" s="1995">
        <f t="shared" si="0"/>
        <v>1</v>
      </c>
      <c r="BF623" s="1997"/>
      <c r="BG623" s="1977">
        <f t="shared" si="1"/>
        <v>7</v>
      </c>
      <c r="BH623" s="1979"/>
      <c r="BI623" s="1995">
        <f t="shared" si="2"/>
        <v>0</v>
      </c>
      <c r="BJ623" s="1997"/>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0</v>
      </c>
      <c r="BY623" s="1976"/>
      <c r="BZ623" s="1976"/>
      <c r="CA623" s="1976"/>
      <c r="CB623" s="1976"/>
      <c r="CC623" s="1976">
        <f t="shared" si="7"/>
        <v>7</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4">
        <f t="shared" si="10"/>
        <v>0</v>
      </c>
      <c r="CT623" s="1994"/>
      <c r="CU623" s="1994"/>
      <c r="CV623" s="1994"/>
      <c r="CW623" s="1994"/>
      <c r="CX623" s="1994">
        <f t="shared" si="11"/>
        <v>0</v>
      </c>
      <c r="CY623" s="1994"/>
      <c r="CZ623" s="1994"/>
      <c r="DA623" s="1994"/>
      <c r="DB623" s="1994"/>
      <c r="DC623" s="1994">
        <f t="shared" si="12"/>
        <v>0</v>
      </c>
      <c r="DD623" s="1994"/>
      <c r="DE623" s="1994"/>
      <c r="DF623" s="1994"/>
      <c r="DG623" s="1994"/>
      <c r="DH623" s="1994">
        <f t="shared" si="13"/>
        <v>0</v>
      </c>
      <c r="DI623" s="1994"/>
      <c r="DJ623" s="1994"/>
      <c r="DK623" s="1994"/>
      <c r="DL623" s="1994"/>
      <c r="DM623" s="1994">
        <f t="shared" si="14"/>
        <v>0</v>
      </c>
      <c r="DN623" s="1994"/>
      <c r="DO623" s="1994"/>
      <c r="DP623" s="1994"/>
      <c r="DQ623" s="1994"/>
      <c r="DR623" s="1994">
        <f t="shared" si="15"/>
        <v>0</v>
      </c>
      <c r="DS623" s="1994"/>
      <c r="DT623" s="1994"/>
      <c r="DU623" s="1994"/>
      <c r="DV623" s="1994"/>
      <c r="DX623" s="1995" t="str">
        <f t="shared" si="16"/>
        <v xml:space="preserve"> </v>
      </c>
      <c r="DY623" s="1996"/>
      <c r="DZ623" s="1996"/>
      <c r="EA623" s="1996"/>
      <c r="EB623" s="1997"/>
      <c r="EC623" s="1995" t="str">
        <f t="shared" si="17"/>
        <v xml:space="preserve"> </v>
      </c>
      <c r="ED623" s="1996"/>
      <c r="EE623" s="1996"/>
      <c r="EF623" s="1996"/>
      <c r="EG623" s="1997"/>
      <c r="EH623" s="1995" t="str">
        <f t="shared" si="18"/>
        <v xml:space="preserve"> </v>
      </c>
      <c r="EI623" s="1996"/>
      <c r="EJ623" s="1996"/>
      <c r="EK623" s="1996"/>
      <c r="EL623" s="1997"/>
      <c r="EM623" s="1995">
        <f t="shared" si="19"/>
        <v>1039</v>
      </c>
      <c r="EN623" s="1996"/>
      <c r="EO623" s="1996"/>
      <c r="EP623" s="1996"/>
      <c r="EQ623" s="1997"/>
      <c r="ER623" s="1995" t="str">
        <f t="shared" si="20"/>
        <v xml:space="preserve"> </v>
      </c>
      <c r="ES623" s="1996"/>
      <c r="ET623" s="1996"/>
      <c r="EU623" s="1996"/>
      <c r="EV623" s="1997"/>
      <c r="EW623" s="1995" t="str">
        <f t="shared" si="21"/>
        <v xml:space="preserve"> </v>
      </c>
      <c r="EX623" s="1996"/>
      <c r="EY623" s="1996"/>
      <c r="EZ623" s="1996"/>
      <c r="FA623" s="1997"/>
    </row>
    <row r="624" spans="1:157" ht="12.6">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95">
        <f t="shared" si="0"/>
        <v>0</v>
      </c>
      <c r="BF624" s="1997"/>
      <c r="BG624" s="1977">
        <f t="shared" si="1"/>
        <v>0</v>
      </c>
      <c r="BH624" s="1979"/>
      <c r="BI624" s="1995">
        <f t="shared" si="2"/>
        <v>0</v>
      </c>
      <c r="BJ624" s="1997"/>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44</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4">
        <f t="shared" si="10"/>
        <v>0</v>
      </c>
      <c r="CT624" s="1994"/>
      <c r="CU624" s="1994"/>
      <c r="CV624" s="1994"/>
      <c r="CW624" s="1994"/>
      <c r="CX624" s="1994">
        <f t="shared" si="11"/>
        <v>0</v>
      </c>
      <c r="CY624" s="1994"/>
      <c r="CZ624" s="1994"/>
      <c r="DA624" s="1994"/>
      <c r="DB624" s="1994"/>
      <c r="DC624" s="1994">
        <f t="shared" si="12"/>
        <v>0</v>
      </c>
      <c r="DD624" s="1994"/>
      <c r="DE624" s="1994"/>
      <c r="DF624" s="1994"/>
      <c r="DG624" s="1994"/>
      <c r="DH624" s="1994">
        <f t="shared" si="13"/>
        <v>0</v>
      </c>
      <c r="DI624" s="1994"/>
      <c r="DJ624" s="1994"/>
      <c r="DK624" s="1994"/>
      <c r="DL624" s="1994"/>
      <c r="DM624" s="1994">
        <f t="shared" si="14"/>
        <v>0</v>
      </c>
      <c r="DN624" s="1994"/>
      <c r="DO624" s="1994"/>
      <c r="DP624" s="1994"/>
      <c r="DQ624" s="1994"/>
      <c r="DR624" s="1994">
        <f t="shared" si="15"/>
        <v>0</v>
      </c>
      <c r="DS624" s="1994"/>
      <c r="DT624" s="1994"/>
      <c r="DU624" s="1994"/>
      <c r="DV624" s="1994"/>
      <c r="DX624" s="1995" t="str">
        <f t="shared" si="16"/>
        <v xml:space="preserve"> </v>
      </c>
      <c r="DY624" s="1996"/>
      <c r="DZ624" s="1996"/>
      <c r="EA624" s="1996"/>
      <c r="EB624" s="1997"/>
      <c r="EC624" s="1995" t="str">
        <f t="shared" si="17"/>
        <v xml:space="preserve"> </v>
      </c>
      <c r="ED624" s="1996"/>
      <c r="EE624" s="1996"/>
      <c r="EF624" s="1996"/>
      <c r="EG624" s="1997"/>
      <c r="EH624" s="1995" t="str">
        <f t="shared" si="18"/>
        <v xml:space="preserve"> </v>
      </c>
      <c r="EI624" s="1996"/>
      <c r="EJ624" s="1996"/>
      <c r="EK624" s="1996"/>
      <c r="EL624" s="1997"/>
      <c r="EM624" s="1995">
        <f t="shared" si="19"/>
        <v>1274</v>
      </c>
      <c r="EN624" s="1996"/>
      <c r="EO624" s="1996"/>
      <c r="EP624" s="1996"/>
      <c r="EQ624" s="1997"/>
      <c r="ER624" s="1995" t="str">
        <f t="shared" si="20"/>
        <v xml:space="preserve"> </v>
      </c>
      <c r="ES624" s="1996"/>
      <c r="ET624" s="1996"/>
      <c r="EU624" s="1996"/>
      <c r="EV624" s="1997"/>
      <c r="EW624" s="1995" t="str">
        <f t="shared" si="21"/>
        <v xml:space="preserve"> </v>
      </c>
      <c r="EX624" s="1996"/>
      <c r="EY624" s="1996"/>
      <c r="EZ624" s="1996"/>
      <c r="FA624" s="1997"/>
    </row>
    <row r="625" spans="1:157" ht="12.6">
      <c r="B625" s="12" t="s">
        <v>20</v>
      </c>
      <c r="N625" s="1991" t="s">
        <v>706</v>
      </c>
      <c r="O625" s="1991"/>
      <c r="U625" s="12" t="s">
        <v>20</v>
      </c>
      <c r="AG625" s="1991" t="s">
        <v>706</v>
      </c>
      <c r="AH625" s="1991"/>
      <c r="AZ625" s="58"/>
      <c r="BA625" s="58"/>
      <c r="BB625" s="58"/>
      <c r="BC625" s="58"/>
      <c r="BD625" s="58"/>
      <c r="BE625" s="1995">
        <f t="shared" si="0"/>
        <v>0</v>
      </c>
      <c r="BF625" s="1997"/>
      <c r="BG625" s="1977">
        <f t="shared" si="1"/>
        <v>0</v>
      </c>
      <c r="BH625" s="1979"/>
      <c r="BI625" s="1995">
        <f t="shared" si="2"/>
        <v>0</v>
      </c>
      <c r="BJ625" s="1997"/>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17</v>
      </c>
      <c r="CD625" s="1976"/>
      <c r="CE625" s="1976"/>
      <c r="CF625" s="1976"/>
      <c r="CG625" s="1976"/>
      <c r="CH625" s="1976">
        <f t="shared" si="8"/>
        <v>0</v>
      </c>
      <c r="CI625" s="1976"/>
      <c r="CJ625" s="1976"/>
      <c r="CK625" s="1976"/>
      <c r="CL625" s="1976"/>
      <c r="CM625" s="1976">
        <f t="shared" si="9"/>
        <v>0</v>
      </c>
      <c r="CN625" s="1976"/>
      <c r="CO625" s="1976"/>
      <c r="CP625" s="1976"/>
      <c r="CQ625" s="1976"/>
      <c r="CR625" s="265"/>
      <c r="CS625" s="1994">
        <f t="shared" si="10"/>
        <v>0</v>
      </c>
      <c r="CT625" s="1994"/>
      <c r="CU625" s="1994"/>
      <c r="CV625" s="1994"/>
      <c r="CW625" s="1994"/>
      <c r="CX625" s="1994">
        <f t="shared" si="11"/>
        <v>0</v>
      </c>
      <c r="CY625" s="1994"/>
      <c r="CZ625" s="1994"/>
      <c r="DA625" s="1994"/>
      <c r="DB625" s="1994"/>
      <c r="DC625" s="1994">
        <f t="shared" si="12"/>
        <v>0</v>
      </c>
      <c r="DD625" s="1994"/>
      <c r="DE625" s="1994"/>
      <c r="DF625" s="1994"/>
      <c r="DG625" s="1994"/>
      <c r="DH625" s="1994">
        <f t="shared" si="13"/>
        <v>0</v>
      </c>
      <c r="DI625" s="1994"/>
      <c r="DJ625" s="1994"/>
      <c r="DK625" s="1994"/>
      <c r="DL625" s="1994"/>
      <c r="DM625" s="1994">
        <f t="shared" si="14"/>
        <v>0</v>
      </c>
      <c r="DN625" s="1994"/>
      <c r="DO625" s="1994"/>
      <c r="DP625" s="1994"/>
      <c r="DQ625" s="1994"/>
      <c r="DR625" s="1994">
        <f t="shared" si="15"/>
        <v>0</v>
      </c>
      <c r="DS625" s="1994"/>
      <c r="DT625" s="1994"/>
      <c r="DU625" s="1994"/>
      <c r="DV625" s="1994"/>
      <c r="DX625" s="1995" t="str">
        <f t="shared" si="16"/>
        <v xml:space="preserve"> </v>
      </c>
      <c r="DY625" s="1996"/>
      <c r="DZ625" s="1996"/>
      <c r="EA625" s="1996"/>
      <c r="EB625" s="1997"/>
      <c r="EC625" s="1995" t="str">
        <f t="shared" si="17"/>
        <v xml:space="preserve"> </v>
      </c>
      <c r="ED625" s="1996"/>
      <c r="EE625" s="1996"/>
      <c r="EF625" s="1996"/>
      <c r="EG625" s="1997"/>
      <c r="EH625" s="1995" t="str">
        <f t="shared" si="18"/>
        <v xml:space="preserve"> </v>
      </c>
      <c r="EI625" s="1996"/>
      <c r="EJ625" s="1996"/>
      <c r="EK625" s="1996"/>
      <c r="EL625" s="1997"/>
      <c r="EM625" s="1995">
        <f t="shared" si="19"/>
        <v>1746</v>
      </c>
      <c r="EN625" s="1996"/>
      <c r="EO625" s="1996"/>
      <c r="EP625" s="1996"/>
      <c r="EQ625" s="1997"/>
      <c r="ER625" s="1995" t="str">
        <f t="shared" si="20"/>
        <v xml:space="preserve"> </v>
      </c>
      <c r="ES625" s="1996"/>
      <c r="ET625" s="1996"/>
      <c r="EU625" s="1996"/>
      <c r="EV625" s="1997"/>
      <c r="EW625" s="1995" t="str">
        <f t="shared" si="21"/>
        <v xml:space="preserve"> </v>
      </c>
      <c r="EX625" s="1996"/>
      <c r="EY625" s="1996"/>
      <c r="EZ625" s="1996"/>
      <c r="FA625" s="1997"/>
    </row>
    <row r="626" spans="1:157" ht="12.6">
      <c r="AZ626" s="58"/>
      <c r="BA626" s="58"/>
      <c r="BB626" s="58"/>
      <c r="BC626" s="58"/>
      <c r="BD626" s="58"/>
      <c r="BE626" s="1995">
        <f t="shared" si="0"/>
        <v>0</v>
      </c>
      <c r="BF626" s="1997"/>
      <c r="BG626" s="1977">
        <f t="shared" si="1"/>
        <v>0</v>
      </c>
      <c r="BH626" s="1979"/>
      <c r="BI626" s="1995">
        <f t="shared" si="2"/>
        <v>0</v>
      </c>
      <c r="BJ626" s="1997"/>
      <c r="BK626" s="1977">
        <f t="shared" si="3"/>
        <v>0</v>
      </c>
      <c r="BL626" s="1979"/>
      <c r="BM626" s="58"/>
      <c r="BN626" s="1970">
        <f t="shared" si="4"/>
        <v>0</v>
      </c>
      <c r="BO626" s="1971"/>
      <c r="BP626" s="1971"/>
      <c r="BQ626" s="1971"/>
      <c r="BR626" s="1972"/>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4">
        <f t="shared" si="10"/>
        <v>0</v>
      </c>
      <c r="CT626" s="1994"/>
      <c r="CU626" s="1994"/>
      <c r="CV626" s="1994"/>
      <c r="CW626" s="1994"/>
      <c r="CX626" s="1994">
        <f t="shared" si="11"/>
        <v>0</v>
      </c>
      <c r="CY626" s="1994"/>
      <c r="CZ626" s="1994"/>
      <c r="DA626" s="1994"/>
      <c r="DB626" s="1994"/>
      <c r="DC626" s="1994">
        <f t="shared" si="12"/>
        <v>0</v>
      </c>
      <c r="DD626" s="1994"/>
      <c r="DE626" s="1994"/>
      <c r="DF626" s="1994"/>
      <c r="DG626" s="1994"/>
      <c r="DH626" s="1994">
        <f t="shared" si="13"/>
        <v>0</v>
      </c>
      <c r="DI626" s="1994"/>
      <c r="DJ626" s="1994"/>
      <c r="DK626" s="1994"/>
      <c r="DL626" s="1994"/>
      <c r="DM626" s="1994">
        <f t="shared" si="14"/>
        <v>0</v>
      </c>
      <c r="DN626" s="1994"/>
      <c r="DO626" s="1994"/>
      <c r="DP626" s="1994"/>
      <c r="DQ626" s="1994"/>
      <c r="DR626" s="1994">
        <f t="shared" si="15"/>
        <v>0</v>
      </c>
      <c r="DS626" s="1994"/>
      <c r="DT626" s="1994"/>
      <c r="DU626" s="1994"/>
      <c r="DV626" s="1994"/>
      <c r="DX626" s="1995" t="str">
        <f t="shared" si="16"/>
        <v xml:space="preserve"> </v>
      </c>
      <c r="DY626" s="1996"/>
      <c r="DZ626" s="1996"/>
      <c r="EA626" s="1996"/>
      <c r="EB626" s="1997"/>
      <c r="EC626" s="1995" t="str">
        <f t="shared" si="17"/>
        <v xml:space="preserve"> </v>
      </c>
      <c r="ED626" s="1996"/>
      <c r="EE626" s="1996"/>
      <c r="EF626" s="1996"/>
      <c r="EG626" s="1997"/>
      <c r="EH626" s="1995" t="str">
        <f t="shared" si="18"/>
        <v xml:space="preserve"> </v>
      </c>
      <c r="EI626" s="1996"/>
      <c r="EJ626" s="1996"/>
      <c r="EK626" s="1996"/>
      <c r="EL626" s="1997"/>
      <c r="EM626" s="1995" t="str">
        <f t="shared" si="19"/>
        <v xml:space="preserve"> </v>
      </c>
      <c r="EN626" s="1996"/>
      <c r="EO626" s="1996"/>
      <c r="EP626" s="1996"/>
      <c r="EQ626" s="1997"/>
      <c r="ER626" s="1995" t="str">
        <f t="shared" si="20"/>
        <v xml:space="preserve"> </v>
      </c>
      <c r="ES626" s="1996"/>
      <c r="ET626" s="1996"/>
      <c r="EU626" s="1996"/>
      <c r="EV626" s="1997"/>
      <c r="EW626" s="1995" t="str">
        <f t="shared" si="21"/>
        <v xml:space="preserve"> </v>
      </c>
      <c r="EX626" s="1996"/>
      <c r="EY626" s="1996"/>
      <c r="EZ626" s="1996"/>
      <c r="FA626" s="1997"/>
    </row>
    <row r="627" spans="1:157" ht="12.75" customHeight="1">
      <c r="A627" s="1817" t="s">
        <v>577</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5">
        <f t="shared" si="0"/>
        <v>0</v>
      </c>
      <c r="BF627" s="1997"/>
      <c r="BG627" s="1977">
        <f t="shared" si="1"/>
        <v>0</v>
      </c>
      <c r="BH627" s="1979"/>
      <c r="BI627" s="1995">
        <f t="shared" si="2"/>
        <v>0</v>
      </c>
      <c r="BJ627" s="1997"/>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4">
        <f t="shared" si="10"/>
        <v>0</v>
      </c>
      <c r="CT627" s="1994"/>
      <c r="CU627" s="1994"/>
      <c r="CV627" s="1994"/>
      <c r="CW627" s="1994"/>
      <c r="CX627" s="1994">
        <f t="shared" si="11"/>
        <v>0</v>
      </c>
      <c r="CY627" s="1994"/>
      <c r="CZ627" s="1994"/>
      <c r="DA627" s="1994"/>
      <c r="DB627" s="1994"/>
      <c r="DC627" s="1994">
        <f t="shared" si="12"/>
        <v>0</v>
      </c>
      <c r="DD627" s="1994"/>
      <c r="DE627" s="1994"/>
      <c r="DF627" s="1994"/>
      <c r="DG627" s="1994"/>
      <c r="DH627" s="1994">
        <f t="shared" si="13"/>
        <v>0</v>
      </c>
      <c r="DI627" s="1994"/>
      <c r="DJ627" s="1994"/>
      <c r="DK627" s="1994"/>
      <c r="DL627" s="1994"/>
      <c r="DM627" s="1994">
        <f t="shared" si="14"/>
        <v>0</v>
      </c>
      <c r="DN627" s="1994"/>
      <c r="DO627" s="1994"/>
      <c r="DP627" s="1994"/>
      <c r="DQ627" s="1994"/>
      <c r="DR627" s="1994">
        <f t="shared" si="15"/>
        <v>0</v>
      </c>
      <c r="DS627" s="1994"/>
      <c r="DT627" s="1994"/>
      <c r="DU627" s="1994"/>
      <c r="DV627" s="1994"/>
      <c r="DX627" s="1995" t="str">
        <f t="shared" si="16"/>
        <v xml:space="preserve"> </v>
      </c>
      <c r="DY627" s="1996"/>
      <c r="DZ627" s="1996"/>
      <c r="EA627" s="1996"/>
      <c r="EB627" s="1997"/>
      <c r="EC627" s="1995" t="str">
        <f t="shared" si="17"/>
        <v xml:space="preserve"> </v>
      </c>
      <c r="ED627" s="1996"/>
      <c r="EE627" s="1996"/>
      <c r="EF627" s="1996"/>
      <c r="EG627" s="1997"/>
      <c r="EH627" s="1995" t="str">
        <f t="shared" si="18"/>
        <v xml:space="preserve"> </v>
      </c>
      <c r="EI627" s="1996"/>
      <c r="EJ627" s="1996"/>
      <c r="EK627" s="1996"/>
      <c r="EL627" s="1997"/>
      <c r="EM627" s="1995" t="str">
        <f t="shared" si="19"/>
        <v xml:space="preserve"> </v>
      </c>
      <c r="EN627" s="1996"/>
      <c r="EO627" s="1996"/>
      <c r="EP627" s="1996"/>
      <c r="EQ627" s="1997"/>
      <c r="ER627" s="1995" t="str">
        <f t="shared" si="20"/>
        <v xml:space="preserve"> </v>
      </c>
      <c r="ES627" s="1996"/>
      <c r="ET627" s="1996"/>
      <c r="EU627" s="1996"/>
      <c r="EV627" s="1997"/>
      <c r="EW627" s="1995" t="str">
        <f t="shared" si="21"/>
        <v xml:space="preserve"> </v>
      </c>
      <c r="EX627" s="1996"/>
      <c r="EY627" s="1996"/>
      <c r="EZ627" s="1996"/>
      <c r="FA627" s="1997"/>
    </row>
    <row r="628" spans="1:157" ht="13.1">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5">
        <f t="shared" si="0"/>
        <v>0</v>
      </c>
      <c r="BF628" s="1997"/>
      <c r="BG628" s="1977">
        <f t="shared" si="1"/>
        <v>0</v>
      </c>
      <c r="BH628" s="1979"/>
      <c r="BI628" s="1995">
        <f t="shared" si="2"/>
        <v>0</v>
      </c>
      <c r="BJ628" s="1997"/>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4">
        <f t="shared" si="10"/>
        <v>0</v>
      </c>
      <c r="CT628" s="1994"/>
      <c r="CU628" s="1994"/>
      <c r="CV628" s="1994"/>
      <c r="CW628" s="1994"/>
      <c r="CX628" s="1994">
        <f t="shared" si="11"/>
        <v>0</v>
      </c>
      <c r="CY628" s="1994"/>
      <c r="CZ628" s="1994"/>
      <c r="DA628" s="1994"/>
      <c r="DB628" s="1994"/>
      <c r="DC628" s="1994">
        <f t="shared" si="12"/>
        <v>0</v>
      </c>
      <c r="DD628" s="1994"/>
      <c r="DE628" s="1994"/>
      <c r="DF628" s="1994"/>
      <c r="DG628" s="1994"/>
      <c r="DH628" s="1994">
        <f t="shared" si="13"/>
        <v>0</v>
      </c>
      <c r="DI628" s="1994"/>
      <c r="DJ628" s="1994"/>
      <c r="DK628" s="1994"/>
      <c r="DL628" s="1994"/>
      <c r="DM628" s="1994">
        <f t="shared" si="14"/>
        <v>0</v>
      </c>
      <c r="DN628" s="1994"/>
      <c r="DO628" s="1994"/>
      <c r="DP628" s="1994"/>
      <c r="DQ628" s="1994"/>
      <c r="DR628" s="1994">
        <f t="shared" si="15"/>
        <v>0</v>
      </c>
      <c r="DS628" s="1994"/>
      <c r="DT628" s="1994"/>
      <c r="DU628" s="1994"/>
      <c r="DV628" s="1994"/>
      <c r="DX628" s="1995" t="str">
        <f t="shared" si="16"/>
        <v xml:space="preserve"> </v>
      </c>
      <c r="DY628" s="1996"/>
      <c r="DZ628" s="1996"/>
      <c r="EA628" s="1996"/>
      <c r="EB628" s="1997"/>
      <c r="EC628" s="1995" t="str">
        <f t="shared" si="17"/>
        <v xml:space="preserve"> </v>
      </c>
      <c r="ED628" s="1996"/>
      <c r="EE628" s="1996"/>
      <c r="EF628" s="1996"/>
      <c r="EG628" s="1997"/>
      <c r="EH628" s="1995" t="str">
        <f t="shared" si="18"/>
        <v xml:space="preserve"> </v>
      </c>
      <c r="EI628" s="1996"/>
      <c r="EJ628" s="1996"/>
      <c r="EK628" s="1996"/>
      <c r="EL628" s="1997"/>
      <c r="EM628" s="1995" t="str">
        <f t="shared" si="19"/>
        <v xml:space="preserve"> </v>
      </c>
      <c r="EN628" s="1996"/>
      <c r="EO628" s="1996"/>
      <c r="EP628" s="1996"/>
      <c r="EQ628" s="1997"/>
      <c r="ER628" s="1995" t="str">
        <f t="shared" si="20"/>
        <v xml:space="preserve"> </v>
      </c>
      <c r="ES628" s="1996"/>
      <c r="ET628" s="1996"/>
      <c r="EU628" s="1996"/>
      <c r="EV628" s="1997"/>
      <c r="EW628" s="1995" t="str">
        <f t="shared" si="21"/>
        <v xml:space="preserve"> </v>
      </c>
      <c r="EX628" s="1996"/>
      <c r="EY628" s="1996"/>
      <c r="EZ628" s="1996"/>
      <c r="FA628" s="1997"/>
    </row>
    <row r="629" spans="1:157" ht="12.6">
      <c r="A629" s="25"/>
      <c r="B629" s="25"/>
      <c r="C629" s="25"/>
      <c r="D629" s="25"/>
      <c r="E629" s="25"/>
      <c r="F629" s="25"/>
      <c r="G629" s="3"/>
      <c r="H629" s="25"/>
      <c r="AZ629" s="58"/>
      <c r="BA629" s="58"/>
      <c r="BB629" s="58"/>
      <c r="BC629" s="58"/>
      <c r="BD629" s="58"/>
      <c r="BE629" s="1995">
        <f t="shared" si="0"/>
        <v>0</v>
      </c>
      <c r="BF629" s="1997"/>
      <c r="BG629" s="1977">
        <f t="shared" si="1"/>
        <v>0</v>
      </c>
      <c r="BH629" s="1979"/>
      <c r="BI629" s="1995">
        <f t="shared" si="2"/>
        <v>0</v>
      </c>
      <c r="BJ629" s="1997"/>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1994">
        <f t="shared" si="10"/>
        <v>0</v>
      </c>
      <c r="CT629" s="1994"/>
      <c r="CU629" s="1994"/>
      <c r="CV629" s="1994"/>
      <c r="CW629" s="1994"/>
      <c r="CX629" s="1994">
        <f t="shared" si="11"/>
        <v>0</v>
      </c>
      <c r="CY629" s="1994"/>
      <c r="CZ629" s="1994"/>
      <c r="DA629" s="1994"/>
      <c r="DB629" s="1994"/>
      <c r="DC629" s="1994">
        <f t="shared" si="12"/>
        <v>0</v>
      </c>
      <c r="DD629" s="1994"/>
      <c r="DE629" s="1994"/>
      <c r="DF629" s="1994"/>
      <c r="DG629" s="1994"/>
      <c r="DH629" s="1994">
        <f t="shared" si="13"/>
        <v>0</v>
      </c>
      <c r="DI629" s="1994"/>
      <c r="DJ629" s="1994"/>
      <c r="DK629" s="1994"/>
      <c r="DL629" s="1994"/>
      <c r="DM629" s="1994">
        <f t="shared" si="14"/>
        <v>0</v>
      </c>
      <c r="DN629" s="1994"/>
      <c r="DO629" s="1994"/>
      <c r="DP629" s="1994"/>
      <c r="DQ629" s="1994"/>
      <c r="DR629" s="1994">
        <f t="shared" si="15"/>
        <v>0</v>
      </c>
      <c r="DS629" s="1994"/>
      <c r="DT629" s="1994"/>
      <c r="DU629" s="1994"/>
      <c r="DV629" s="1994"/>
      <c r="DX629" s="1995" t="str">
        <f t="shared" si="16"/>
        <v xml:space="preserve"> </v>
      </c>
      <c r="DY629" s="1996"/>
      <c r="DZ629" s="1996"/>
      <c r="EA629" s="1996"/>
      <c r="EB629" s="1997"/>
      <c r="EC629" s="1995" t="str">
        <f t="shared" si="17"/>
        <v xml:space="preserve"> </v>
      </c>
      <c r="ED629" s="1996"/>
      <c r="EE629" s="1996"/>
      <c r="EF629" s="1996"/>
      <c r="EG629" s="1997"/>
      <c r="EH629" s="1995" t="str">
        <f t="shared" si="18"/>
        <v xml:space="preserve"> </v>
      </c>
      <c r="EI629" s="1996"/>
      <c r="EJ629" s="1996"/>
      <c r="EK629" s="1996"/>
      <c r="EL629" s="1997"/>
      <c r="EM629" s="1995" t="str">
        <f t="shared" si="19"/>
        <v xml:space="preserve"> </v>
      </c>
      <c r="EN629" s="1996"/>
      <c r="EO629" s="1996"/>
      <c r="EP629" s="1996"/>
      <c r="EQ629" s="1997"/>
      <c r="ER629" s="1995" t="str">
        <f t="shared" si="20"/>
        <v xml:space="preserve"> </v>
      </c>
      <c r="ES629" s="1996"/>
      <c r="ET629" s="1996"/>
      <c r="EU629" s="1996"/>
      <c r="EV629" s="1997"/>
      <c r="EW629" s="1995" t="str">
        <f t="shared" si="21"/>
        <v xml:space="preserve"> </v>
      </c>
      <c r="EX629" s="1996"/>
      <c r="EY629" s="1996"/>
      <c r="EZ629" s="1996"/>
      <c r="FA629" s="1997"/>
    </row>
    <row r="630" spans="1:157" ht="13.1">
      <c r="A630" s="50" t="s">
        <v>328</v>
      </c>
      <c r="B630" s="50"/>
      <c r="C630" s="50" t="s">
        <v>21</v>
      </c>
      <c r="AZ630" s="58"/>
      <c r="BA630" s="58"/>
      <c r="BB630" s="58"/>
      <c r="BC630" s="58"/>
      <c r="BD630" s="58"/>
      <c r="BE630" s="1995">
        <f t="shared" si="0"/>
        <v>0</v>
      </c>
      <c r="BF630" s="1997"/>
      <c r="BG630" s="1977">
        <f t="shared" si="1"/>
        <v>0</v>
      </c>
      <c r="BH630" s="1979"/>
      <c r="BI630" s="1995">
        <f t="shared" si="2"/>
        <v>0</v>
      </c>
      <c r="BJ630" s="1997"/>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4">
        <f t="shared" si="10"/>
        <v>0</v>
      </c>
      <c r="CT630" s="1994"/>
      <c r="CU630" s="1994"/>
      <c r="CV630" s="1994"/>
      <c r="CW630" s="1994"/>
      <c r="CX630" s="1994">
        <f t="shared" si="11"/>
        <v>0</v>
      </c>
      <c r="CY630" s="1994"/>
      <c r="CZ630" s="1994"/>
      <c r="DA630" s="1994"/>
      <c r="DB630" s="1994"/>
      <c r="DC630" s="1994">
        <f t="shared" si="12"/>
        <v>0</v>
      </c>
      <c r="DD630" s="1994"/>
      <c r="DE630" s="1994"/>
      <c r="DF630" s="1994"/>
      <c r="DG630" s="1994"/>
      <c r="DH630" s="1994">
        <f t="shared" si="13"/>
        <v>0</v>
      </c>
      <c r="DI630" s="1994"/>
      <c r="DJ630" s="1994"/>
      <c r="DK630" s="1994"/>
      <c r="DL630" s="1994"/>
      <c r="DM630" s="1994">
        <f t="shared" si="14"/>
        <v>0</v>
      </c>
      <c r="DN630" s="1994"/>
      <c r="DO630" s="1994"/>
      <c r="DP630" s="1994"/>
      <c r="DQ630" s="1994"/>
      <c r="DR630" s="1994">
        <f t="shared" si="15"/>
        <v>0</v>
      </c>
      <c r="DS630" s="1994"/>
      <c r="DT630" s="1994"/>
      <c r="DU630" s="1994"/>
      <c r="DV630" s="1994"/>
      <c r="DX630" s="1995" t="str">
        <f t="shared" si="16"/>
        <v xml:space="preserve"> </v>
      </c>
      <c r="DY630" s="1996"/>
      <c r="DZ630" s="1996"/>
      <c r="EA630" s="1996"/>
      <c r="EB630" s="1997"/>
      <c r="EC630" s="1995" t="str">
        <f t="shared" si="17"/>
        <v xml:space="preserve"> </v>
      </c>
      <c r="ED630" s="1996"/>
      <c r="EE630" s="1996"/>
      <c r="EF630" s="1996"/>
      <c r="EG630" s="1997"/>
      <c r="EH630" s="1995" t="str">
        <f t="shared" si="18"/>
        <v xml:space="preserve"> </v>
      </c>
      <c r="EI630" s="1996"/>
      <c r="EJ630" s="1996"/>
      <c r="EK630" s="1996"/>
      <c r="EL630" s="1997"/>
      <c r="EM630" s="1995" t="str">
        <f t="shared" si="19"/>
        <v xml:space="preserve"> </v>
      </c>
      <c r="EN630" s="1996"/>
      <c r="EO630" s="1996"/>
      <c r="EP630" s="1996"/>
      <c r="EQ630" s="1997"/>
      <c r="ER630" s="1995" t="str">
        <f t="shared" si="20"/>
        <v xml:space="preserve"> </v>
      </c>
      <c r="ES630" s="1996"/>
      <c r="ET630" s="1996"/>
      <c r="EU630" s="1996"/>
      <c r="EV630" s="1997"/>
      <c r="EW630" s="1995" t="str">
        <f t="shared" si="21"/>
        <v xml:space="preserve"> </v>
      </c>
      <c r="EX630" s="1996"/>
      <c r="EY630" s="1996"/>
      <c r="EZ630" s="1996"/>
      <c r="FA630" s="1997"/>
    </row>
    <row r="631" spans="1:157" ht="13.1">
      <c r="A631" s="50"/>
      <c r="B631" s="50"/>
      <c r="C631" s="50"/>
      <c r="AZ631" s="58"/>
      <c r="BA631" s="58"/>
      <c r="BB631" s="58"/>
      <c r="BC631" s="58"/>
      <c r="BD631" s="58"/>
      <c r="BE631" s="1995">
        <f t="shared" si="0"/>
        <v>0</v>
      </c>
      <c r="BF631" s="1997"/>
      <c r="BG631" s="1977">
        <f t="shared" si="1"/>
        <v>0</v>
      </c>
      <c r="BH631" s="1979"/>
      <c r="BI631" s="1995">
        <f t="shared" si="2"/>
        <v>0</v>
      </c>
      <c r="BJ631" s="1997"/>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4">
        <f t="shared" si="10"/>
        <v>0</v>
      </c>
      <c r="CT631" s="1994"/>
      <c r="CU631" s="1994"/>
      <c r="CV631" s="1994"/>
      <c r="CW631" s="1994"/>
      <c r="CX631" s="1994">
        <f t="shared" si="11"/>
        <v>0</v>
      </c>
      <c r="CY631" s="1994"/>
      <c r="CZ631" s="1994"/>
      <c r="DA631" s="1994"/>
      <c r="DB631" s="1994"/>
      <c r="DC631" s="1994">
        <f t="shared" si="12"/>
        <v>0</v>
      </c>
      <c r="DD631" s="1994"/>
      <c r="DE631" s="1994"/>
      <c r="DF631" s="1994"/>
      <c r="DG631" s="1994"/>
      <c r="DH631" s="1994">
        <f t="shared" si="13"/>
        <v>0</v>
      </c>
      <c r="DI631" s="1994"/>
      <c r="DJ631" s="1994"/>
      <c r="DK631" s="1994"/>
      <c r="DL631" s="1994"/>
      <c r="DM631" s="1994">
        <f t="shared" si="14"/>
        <v>0</v>
      </c>
      <c r="DN631" s="1994"/>
      <c r="DO631" s="1994"/>
      <c r="DP631" s="1994"/>
      <c r="DQ631" s="1994"/>
      <c r="DR631" s="1994">
        <f t="shared" si="15"/>
        <v>0</v>
      </c>
      <c r="DS631" s="1994"/>
      <c r="DT631" s="1994"/>
      <c r="DU631" s="1994"/>
      <c r="DV631" s="1994"/>
      <c r="DX631" s="1995" t="str">
        <f t="shared" si="16"/>
        <v xml:space="preserve"> </v>
      </c>
      <c r="DY631" s="1996"/>
      <c r="DZ631" s="1996"/>
      <c r="EA631" s="1996"/>
      <c r="EB631" s="1997"/>
      <c r="EC631" s="1995" t="str">
        <f t="shared" si="17"/>
        <v xml:space="preserve"> </v>
      </c>
      <c r="ED631" s="1996"/>
      <c r="EE631" s="1996"/>
      <c r="EF631" s="1996"/>
      <c r="EG631" s="1997"/>
      <c r="EH631" s="1995" t="str">
        <f t="shared" si="18"/>
        <v xml:space="preserve"> </v>
      </c>
      <c r="EI631" s="1996"/>
      <c r="EJ631" s="1996"/>
      <c r="EK631" s="1996"/>
      <c r="EL631" s="1997"/>
      <c r="EM631" s="1995" t="str">
        <f t="shared" si="19"/>
        <v xml:space="preserve"> </v>
      </c>
      <c r="EN631" s="1996"/>
      <c r="EO631" s="1996"/>
      <c r="EP631" s="1996"/>
      <c r="EQ631" s="1997"/>
      <c r="ER631" s="1995" t="str">
        <f t="shared" si="20"/>
        <v xml:space="preserve"> </v>
      </c>
      <c r="ES631" s="1996"/>
      <c r="ET631" s="1996"/>
      <c r="EU631" s="1996"/>
      <c r="EV631" s="1997"/>
      <c r="EW631" s="1995" t="str">
        <f t="shared" si="21"/>
        <v xml:space="preserve"> </v>
      </c>
      <c r="EX631" s="1996"/>
      <c r="EY631" s="1996"/>
      <c r="EZ631" s="1996"/>
      <c r="FA631" s="1997"/>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0"/>
        <v>0</v>
      </c>
      <c r="BF632" s="1997"/>
      <c r="BG632" s="1977">
        <f t="shared" si="1"/>
        <v>0</v>
      </c>
      <c r="BH632" s="1979"/>
      <c r="BI632" s="1995">
        <f t="shared" si="2"/>
        <v>0</v>
      </c>
      <c r="BJ632" s="1997"/>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4">
        <f t="shared" si="10"/>
        <v>0</v>
      </c>
      <c r="CT632" s="1994"/>
      <c r="CU632" s="1994"/>
      <c r="CV632" s="1994"/>
      <c r="CW632" s="1994"/>
      <c r="CX632" s="1994">
        <f t="shared" si="11"/>
        <v>0</v>
      </c>
      <c r="CY632" s="1994"/>
      <c r="CZ632" s="1994"/>
      <c r="DA632" s="1994"/>
      <c r="DB632" s="1994"/>
      <c r="DC632" s="1994">
        <f t="shared" si="12"/>
        <v>0</v>
      </c>
      <c r="DD632" s="1994"/>
      <c r="DE632" s="1994"/>
      <c r="DF632" s="1994"/>
      <c r="DG632" s="1994"/>
      <c r="DH632" s="1994">
        <f t="shared" si="13"/>
        <v>0</v>
      </c>
      <c r="DI632" s="1994"/>
      <c r="DJ632" s="1994"/>
      <c r="DK632" s="1994"/>
      <c r="DL632" s="1994"/>
      <c r="DM632" s="1994">
        <f t="shared" si="14"/>
        <v>0</v>
      </c>
      <c r="DN632" s="1994"/>
      <c r="DO632" s="1994"/>
      <c r="DP632" s="1994"/>
      <c r="DQ632" s="1994"/>
      <c r="DR632" s="1994">
        <f t="shared" si="15"/>
        <v>0</v>
      </c>
      <c r="DS632" s="1994"/>
      <c r="DT632" s="1994"/>
      <c r="DU632" s="1994"/>
      <c r="DV632" s="1994"/>
      <c r="DX632" s="1995" t="str">
        <f t="shared" si="16"/>
        <v xml:space="preserve"> </v>
      </c>
      <c r="DY632" s="1996"/>
      <c r="DZ632" s="1996"/>
      <c r="EA632" s="1996"/>
      <c r="EB632" s="1997"/>
      <c r="EC632" s="1995" t="str">
        <f t="shared" si="17"/>
        <v xml:space="preserve"> </v>
      </c>
      <c r="ED632" s="1996"/>
      <c r="EE632" s="1996"/>
      <c r="EF632" s="1996"/>
      <c r="EG632" s="1997"/>
      <c r="EH632" s="1995" t="str">
        <f t="shared" si="18"/>
        <v xml:space="preserve"> </v>
      </c>
      <c r="EI632" s="1996"/>
      <c r="EJ632" s="1996"/>
      <c r="EK632" s="1996"/>
      <c r="EL632" s="1997"/>
      <c r="EM632" s="1995" t="str">
        <f t="shared" si="19"/>
        <v xml:space="preserve"> </v>
      </c>
      <c r="EN632" s="1996"/>
      <c r="EO632" s="1996"/>
      <c r="EP632" s="1996"/>
      <c r="EQ632" s="1997"/>
      <c r="ER632" s="1995" t="str">
        <f t="shared" si="20"/>
        <v xml:space="preserve"> </v>
      </c>
      <c r="ES632" s="1996"/>
      <c r="ET632" s="1996"/>
      <c r="EU632" s="1996"/>
      <c r="EV632" s="1997"/>
      <c r="EW632" s="1995" t="str">
        <f t="shared" si="21"/>
        <v xml:space="preserve"> </v>
      </c>
      <c r="EX632" s="1996"/>
      <c r="EY632" s="1996"/>
      <c r="EZ632" s="1996"/>
      <c r="FA632" s="1997"/>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0"/>
        <v>0</v>
      </c>
      <c r="BF633" s="1997"/>
      <c r="BG633" s="1977">
        <f t="shared" si="1"/>
        <v>0</v>
      </c>
      <c r="BH633" s="1979"/>
      <c r="BI633" s="1995">
        <f t="shared" si="2"/>
        <v>0</v>
      </c>
      <c r="BJ633" s="1997"/>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4">
        <f t="shared" si="10"/>
        <v>0</v>
      </c>
      <c r="CT633" s="1994"/>
      <c r="CU633" s="1994"/>
      <c r="CV633" s="1994"/>
      <c r="CW633" s="1994"/>
      <c r="CX633" s="1994">
        <f t="shared" si="11"/>
        <v>0</v>
      </c>
      <c r="CY633" s="1994"/>
      <c r="CZ633" s="1994"/>
      <c r="DA633" s="1994"/>
      <c r="DB633" s="1994"/>
      <c r="DC633" s="1994">
        <f t="shared" si="12"/>
        <v>0</v>
      </c>
      <c r="DD633" s="1994"/>
      <c r="DE633" s="1994"/>
      <c r="DF633" s="1994"/>
      <c r="DG633" s="1994"/>
      <c r="DH633" s="1994">
        <f t="shared" si="13"/>
        <v>0</v>
      </c>
      <c r="DI633" s="1994"/>
      <c r="DJ633" s="1994"/>
      <c r="DK633" s="1994"/>
      <c r="DL633" s="1994"/>
      <c r="DM633" s="1994">
        <f t="shared" si="14"/>
        <v>0</v>
      </c>
      <c r="DN633" s="1994"/>
      <c r="DO633" s="1994"/>
      <c r="DP633" s="1994"/>
      <c r="DQ633" s="1994"/>
      <c r="DR633" s="1994">
        <f t="shared" si="15"/>
        <v>0</v>
      </c>
      <c r="DS633" s="1994"/>
      <c r="DT633" s="1994"/>
      <c r="DU633" s="1994"/>
      <c r="DV633" s="1994"/>
      <c r="DX633" s="1995" t="str">
        <f t="shared" si="16"/>
        <v xml:space="preserve"> </v>
      </c>
      <c r="DY633" s="1996"/>
      <c r="DZ633" s="1996"/>
      <c r="EA633" s="1996"/>
      <c r="EB633" s="1997"/>
      <c r="EC633" s="1995" t="str">
        <f t="shared" si="17"/>
        <v xml:space="preserve"> </v>
      </c>
      <c r="ED633" s="1996"/>
      <c r="EE633" s="1996"/>
      <c r="EF633" s="1996"/>
      <c r="EG633" s="1997"/>
      <c r="EH633" s="1995" t="str">
        <f t="shared" si="18"/>
        <v xml:space="preserve"> </v>
      </c>
      <c r="EI633" s="1996"/>
      <c r="EJ633" s="1996"/>
      <c r="EK633" s="1996"/>
      <c r="EL633" s="1997"/>
      <c r="EM633" s="1995" t="str">
        <f t="shared" si="19"/>
        <v xml:space="preserve"> </v>
      </c>
      <c r="EN633" s="1996"/>
      <c r="EO633" s="1996"/>
      <c r="EP633" s="1996"/>
      <c r="EQ633" s="1997"/>
      <c r="ER633" s="1995" t="str">
        <f t="shared" si="20"/>
        <v xml:space="preserve"> </v>
      </c>
      <c r="ES633" s="1996"/>
      <c r="ET633" s="1996"/>
      <c r="EU633" s="1996"/>
      <c r="EV633" s="1997"/>
      <c r="EW633" s="1995" t="str">
        <f t="shared" si="21"/>
        <v xml:space="preserve"> </v>
      </c>
      <c r="EX633" s="1996"/>
      <c r="EY633" s="1996"/>
      <c r="EZ633" s="1996"/>
      <c r="FA633" s="1997"/>
    </row>
    <row r="634" spans="1:157" s="1717" customFormat="1" ht="12.75" customHeight="1">
      <c r="B634" s="2171" t="s">
        <v>484</v>
      </c>
      <c r="C634" s="2172"/>
      <c r="D634" s="2172"/>
      <c r="E634" s="2172"/>
      <c r="F634" s="2172"/>
      <c r="G634" s="2172"/>
      <c r="H634" s="2172"/>
      <c r="I634" s="2172"/>
      <c r="J634" s="2172"/>
      <c r="K634" s="2172"/>
      <c r="L634" s="2172"/>
      <c r="M634" s="2172"/>
      <c r="N634" s="2173"/>
      <c r="O634" s="2025" t="s">
        <v>2293</v>
      </c>
      <c r="P634" s="2026"/>
      <c r="Q634" s="2027"/>
      <c r="R634" s="2025" t="s">
        <v>2291</v>
      </c>
      <c r="S634" s="2026"/>
      <c r="T634" s="2027"/>
      <c r="U634" s="2017" t="s">
        <v>485</v>
      </c>
      <c r="V634" s="2017"/>
      <c r="W634" s="2018"/>
      <c r="X634" s="2025" t="s">
        <v>2090</v>
      </c>
      <c r="Y634" s="2026"/>
      <c r="Z634" s="2026"/>
      <c r="AA634" s="2026"/>
      <c r="AB634" s="2027"/>
      <c r="AC634" s="2263" t="s">
        <v>2088</v>
      </c>
      <c r="AD634" s="2264"/>
      <c r="AE634" s="2265"/>
      <c r="AF634" s="2025" t="s">
        <v>2091</v>
      </c>
      <c r="AG634" s="2026"/>
      <c r="AH634" s="2026"/>
      <c r="AI634" s="2026"/>
      <c r="AJ634" s="2027"/>
      <c r="AK634" s="2252" t="s">
        <v>2092</v>
      </c>
      <c r="AL634" s="2253"/>
      <c r="AM634" s="2253"/>
      <c r="AN634" s="2254"/>
      <c r="AO634" s="2311" t="s">
        <v>486</v>
      </c>
      <c r="AP634" s="2311"/>
      <c r="AQ634" s="2311"/>
      <c r="AR634" s="2311"/>
      <c r="AS634" s="2311"/>
      <c r="AT634" s="1718"/>
      <c r="AU634" s="1718"/>
      <c r="AV634" s="1718"/>
      <c r="AW634" s="1718"/>
      <c r="AX634" s="1718"/>
      <c r="AY634" s="1718"/>
      <c r="AZ634" s="181"/>
      <c r="BA634" s="181"/>
      <c r="BB634" s="181"/>
      <c r="BC634" s="181"/>
      <c r="BD634" s="181"/>
      <c r="BE634" s="1995">
        <f t="shared" si="0"/>
        <v>0</v>
      </c>
      <c r="BF634" s="1997"/>
      <c r="BG634" s="1977">
        <f t="shared" si="1"/>
        <v>0</v>
      </c>
      <c r="BH634" s="1979"/>
      <c r="BI634" s="1995">
        <f t="shared" si="2"/>
        <v>0</v>
      </c>
      <c r="BJ634" s="1997"/>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4">
        <f t="shared" si="10"/>
        <v>0</v>
      </c>
      <c r="CT634" s="1994"/>
      <c r="CU634" s="1994"/>
      <c r="CV634" s="1994"/>
      <c r="CW634" s="1994"/>
      <c r="CX634" s="1994">
        <f t="shared" si="11"/>
        <v>0</v>
      </c>
      <c r="CY634" s="1994"/>
      <c r="CZ634" s="1994"/>
      <c r="DA634" s="1994"/>
      <c r="DB634" s="1994"/>
      <c r="DC634" s="1994">
        <f t="shared" si="12"/>
        <v>0</v>
      </c>
      <c r="DD634" s="1994"/>
      <c r="DE634" s="1994"/>
      <c r="DF634" s="1994"/>
      <c r="DG634" s="1994"/>
      <c r="DH634" s="1994">
        <f t="shared" si="13"/>
        <v>0</v>
      </c>
      <c r="DI634" s="1994"/>
      <c r="DJ634" s="1994"/>
      <c r="DK634" s="1994"/>
      <c r="DL634" s="1994"/>
      <c r="DM634" s="1994">
        <f t="shared" si="14"/>
        <v>0</v>
      </c>
      <c r="DN634" s="1994"/>
      <c r="DO634" s="1994"/>
      <c r="DP634" s="1994"/>
      <c r="DQ634" s="1994"/>
      <c r="DR634" s="1994">
        <f t="shared" si="15"/>
        <v>0</v>
      </c>
      <c r="DS634" s="1994"/>
      <c r="DT634" s="1994"/>
      <c r="DU634" s="1994"/>
      <c r="DV634" s="1994"/>
      <c r="DX634" s="1995" t="str">
        <f t="shared" si="16"/>
        <v xml:space="preserve"> </v>
      </c>
      <c r="DY634" s="1996"/>
      <c r="DZ634" s="1996"/>
      <c r="EA634" s="1996"/>
      <c r="EB634" s="1997"/>
      <c r="EC634" s="1995" t="str">
        <f t="shared" si="17"/>
        <v xml:space="preserve"> </v>
      </c>
      <c r="ED634" s="1996"/>
      <c r="EE634" s="1996"/>
      <c r="EF634" s="1996"/>
      <c r="EG634" s="1997"/>
      <c r="EH634" s="1995" t="str">
        <f t="shared" si="18"/>
        <v xml:space="preserve"> </v>
      </c>
      <c r="EI634" s="1996"/>
      <c r="EJ634" s="1996"/>
      <c r="EK634" s="1996"/>
      <c r="EL634" s="1997"/>
      <c r="EM634" s="1995" t="str">
        <f t="shared" si="19"/>
        <v xml:space="preserve"> </v>
      </c>
      <c r="EN634" s="1996"/>
      <c r="EO634" s="1996"/>
      <c r="EP634" s="1996"/>
      <c r="EQ634" s="1997"/>
      <c r="ER634" s="1995" t="str">
        <f t="shared" si="20"/>
        <v xml:space="preserve"> </v>
      </c>
      <c r="ES634" s="1996"/>
      <c r="ET634" s="1996"/>
      <c r="EU634" s="1996"/>
      <c r="EV634" s="1997"/>
      <c r="EW634" s="1995" t="str">
        <f t="shared" si="21"/>
        <v xml:space="preserve"> </v>
      </c>
      <c r="EX634" s="1996"/>
      <c r="EY634" s="1996"/>
      <c r="EZ634" s="1996"/>
      <c r="FA634" s="1997"/>
    </row>
    <row r="635" spans="1:157" s="1717" customFormat="1" ht="12.6">
      <c r="B635" s="2307"/>
      <c r="C635" s="2308"/>
      <c r="D635" s="2308"/>
      <c r="E635" s="2308"/>
      <c r="F635" s="2308"/>
      <c r="G635" s="2308"/>
      <c r="H635" s="2308"/>
      <c r="I635" s="2308"/>
      <c r="J635" s="2308"/>
      <c r="K635" s="2308"/>
      <c r="L635" s="2308"/>
      <c r="M635" s="2308"/>
      <c r="N635" s="2309"/>
      <c r="O635" s="2028"/>
      <c r="P635" s="2029"/>
      <c r="Q635" s="2030"/>
      <c r="R635" s="2028"/>
      <c r="S635" s="2029"/>
      <c r="T635" s="2030"/>
      <c r="U635" s="2019"/>
      <c r="V635" s="2019"/>
      <c r="W635" s="2020"/>
      <c r="X635" s="2028"/>
      <c r="Y635" s="2029"/>
      <c r="Z635" s="2029"/>
      <c r="AA635" s="2029"/>
      <c r="AB635" s="2030"/>
      <c r="AC635" s="2266"/>
      <c r="AD635" s="2267"/>
      <c r="AE635" s="2268"/>
      <c r="AF635" s="2028"/>
      <c r="AG635" s="2029"/>
      <c r="AH635" s="2029"/>
      <c r="AI635" s="2029"/>
      <c r="AJ635" s="2030"/>
      <c r="AK635" s="2255"/>
      <c r="AL635" s="2256"/>
      <c r="AM635" s="2256"/>
      <c r="AN635" s="2257"/>
      <c r="AO635" s="2311"/>
      <c r="AP635" s="2311"/>
      <c r="AQ635" s="2311"/>
      <c r="AR635" s="2311"/>
      <c r="AS635" s="2311"/>
      <c r="AT635" s="1718"/>
      <c r="AU635" s="1718"/>
      <c r="AV635" s="1718"/>
      <c r="AW635" s="1718"/>
      <c r="AX635" s="1718"/>
      <c r="AY635" s="1718"/>
      <c r="AZ635" s="181"/>
      <c r="BA635" s="181"/>
      <c r="BB635" s="181"/>
      <c r="BC635" s="181"/>
      <c r="BD635" s="181"/>
      <c r="BE635" s="181"/>
      <c r="BF635" s="181"/>
      <c r="BG635" s="1995">
        <f>SUM(BG610:BH634)</f>
        <v>30</v>
      </c>
      <c r="BH635" s="1997"/>
      <c r="BI635" s="181"/>
      <c r="BJ635" s="181"/>
      <c r="BK635" s="1995">
        <f>SUM(BK610:BL634)</f>
        <v>30</v>
      </c>
      <c r="BL635" s="1997"/>
      <c r="BM635" s="181"/>
      <c r="BN635" s="1995">
        <f>SUM(BN610:BR634)</f>
        <v>50</v>
      </c>
      <c r="BO635" s="1996"/>
      <c r="BP635" s="1996"/>
      <c r="BQ635" s="1996"/>
      <c r="BR635" s="1997"/>
      <c r="BS635" s="2003">
        <f>SUM(BS610:BW634)</f>
        <v>93</v>
      </c>
      <c r="BT635" s="2003"/>
      <c r="BU635" s="2003"/>
      <c r="BV635" s="2003"/>
      <c r="BW635" s="2003"/>
      <c r="BX635" s="2003">
        <f>SUM(BX610:CB634)</f>
        <v>73</v>
      </c>
      <c r="BY635" s="2003"/>
      <c r="BZ635" s="2003"/>
      <c r="CA635" s="2003"/>
      <c r="CB635" s="2003"/>
      <c r="CC635" s="2003">
        <f>SUM(CC610:CG634)</f>
        <v>75</v>
      </c>
      <c r="CD635" s="2003"/>
      <c r="CE635" s="2003"/>
      <c r="CF635" s="2003"/>
      <c r="CG635" s="2003"/>
      <c r="CH635" s="2003">
        <f>SUM(CH610:CL634)</f>
        <v>0</v>
      </c>
      <c r="CI635" s="2003"/>
      <c r="CJ635" s="2003"/>
      <c r="CK635" s="2003"/>
      <c r="CL635" s="2003"/>
      <c r="CM635" s="2003">
        <f>SUM(CM610:CQ634)</f>
        <v>0</v>
      </c>
      <c r="CN635" s="2003"/>
      <c r="CO635" s="2003"/>
      <c r="CP635" s="2003"/>
      <c r="CQ635" s="2003"/>
      <c r="CR635" s="695"/>
      <c r="CS635" s="2003">
        <f>SUM(CS610:CW634)</f>
        <v>5</v>
      </c>
      <c r="CT635" s="2003"/>
      <c r="CU635" s="2003"/>
      <c r="CV635" s="2003"/>
      <c r="CW635" s="2003"/>
      <c r="CX635" s="2003">
        <f>SUM(CX610:DB634)</f>
        <v>10</v>
      </c>
      <c r="CY635" s="2003"/>
      <c r="CZ635" s="2003"/>
      <c r="DA635" s="2003"/>
      <c r="DB635" s="2003"/>
      <c r="DC635" s="2003">
        <f>SUM(DC610:DG634)</f>
        <v>8</v>
      </c>
      <c r="DD635" s="2003"/>
      <c r="DE635" s="2003"/>
      <c r="DF635" s="2003"/>
      <c r="DG635" s="2003"/>
      <c r="DH635" s="2003">
        <f>SUM(DH610:DL634)</f>
        <v>7</v>
      </c>
      <c r="DI635" s="2003"/>
      <c r="DJ635" s="2003"/>
      <c r="DK635" s="2003"/>
      <c r="DL635" s="2003"/>
      <c r="DM635" s="2003">
        <f>SUM(DM610:DQ634)</f>
        <v>0</v>
      </c>
      <c r="DN635" s="2003"/>
      <c r="DO635" s="2003"/>
      <c r="DP635" s="2003"/>
      <c r="DQ635" s="2003"/>
      <c r="DR635" s="2003">
        <f>SUM(DR610:DV634)</f>
        <v>0</v>
      </c>
      <c r="DS635" s="2003"/>
      <c r="DT635" s="2003"/>
      <c r="DU635" s="2003"/>
      <c r="DV635" s="2003"/>
      <c r="DX635" s="2003">
        <f>SUM(DX610:EB634)</f>
        <v>3171</v>
      </c>
      <c r="DY635" s="2003"/>
      <c r="DZ635" s="2003"/>
      <c r="EA635" s="2003"/>
      <c r="EB635" s="2003"/>
      <c r="EC635" s="2003">
        <f>SUM(EC610:EG634)</f>
        <v>3376</v>
      </c>
      <c r="ED635" s="2003"/>
      <c r="EE635" s="2003"/>
      <c r="EF635" s="2003"/>
      <c r="EG635" s="2003"/>
      <c r="EH635" s="2003">
        <f>SUM(EH610:EL634)</f>
        <v>4032</v>
      </c>
      <c r="EI635" s="2003"/>
      <c r="EJ635" s="2003"/>
      <c r="EK635" s="2003"/>
      <c r="EL635" s="2003"/>
      <c r="EM635" s="2003">
        <f>SUM(EM610:EQ634)</f>
        <v>4626</v>
      </c>
      <c r="EN635" s="2003"/>
      <c r="EO635" s="2003"/>
      <c r="EP635" s="2003"/>
      <c r="EQ635" s="2003"/>
      <c r="ER635" s="2003">
        <f>SUM(ER610:EV634)</f>
        <v>0</v>
      </c>
      <c r="ES635" s="2003"/>
      <c r="ET635" s="2003"/>
      <c r="EU635" s="2003"/>
      <c r="EV635" s="2003"/>
      <c r="EW635" s="2003">
        <f>SUM(EW610:FA634)</f>
        <v>0</v>
      </c>
      <c r="EX635" s="2003"/>
      <c r="EY635" s="2003"/>
      <c r="EZ635" s="2003"/>
      <c r="FA635" s="2003"/>
    </row>
    <row r="636" spans="1:157" s="1717" customFormat="1" ht="13.1">
      <c r="B636" s="2310"/>
      <c r="C636" s="2308"/>
      <c r="D636" s="2308"/>
      <c r="E636" s="2308"/>
      <c r="F636" s="2308"/>
      <c r="G636" s="2308"/>
      <c r="H636" s="2308"/>
      <c r="I636" s="2308"/>
      <c r="J636" s="2308"/>
      <c r="K636" s="2308"/>
      <c r="L636" s="2308"/>
      <c r="M636" s="2308"/>
      <c r="N636" s="2309"/>
      <c r="O636" s="2031"/>
      <c r="P636" s="2032"/>
      <c r="Q636" s="2033"/>
      <c r="R636" s="2031"/>
      <c r="S636" s="2032"/>
      <c r="T636" s="2033"/>
      <c r="U636" s="2021"/>
      <c r="V636" s="2021"/>
      <c r="W636" s="2022"/>
      <c r="X636" s="2031"/>
      <c r="Y636" s="2032"/>
      <c r="Z636" s="2032"/>
      <c r="AA636" s="2032"/>
      <c r="AB636" s="2033"/>
      <c r="AC636" s="2269"/>
      <c r="AD636" s="2270"/>
      <c r="AE636" s="2271"/>
      <c r="AF636" s="2031"/>
      <c r="AG636" s="2032"/>
      <c r="AH636" s="2032"/>
      <c r="AI636" s="2032"/>
      <c r="AJ636" s="2033"/>
      <c r="AK636" s="2258"/>
      <c r="AL636" s="2259"/>
      <c r="AM636" s="2259"/>
      <c r="AN636" s="2260"/>
      <c r="AO636" s="2311"/>
      <c r="AP636" s="2311"/>
      <c r="AQ636" s="2311"/>
      <c r="AR636" s="2311"/>
      <c r="AS636" s="231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5">
        <f>BN635+BS635+BX635+CC635+CH635+CM635</f>
        <v>291</v>
      </c>
      <c r="CN636" s="1996"/>
      <c r="CO636" s="1996"/>
      <c r="CP636" s="1996"/>
      <c r="CQ636" s="1997"/>
      <c r="CR636" s="695"/>
      <c r="CS636" s="181"/>
      <c r="CT636" s="181"/>
      <c r="CU636" s="181"/>
      <c r="CV636" s="181"/>
      <c r="CW636" s="181"/>
      <c r="CX636" s="181"/>
      <c r="CY636" s="181"/>
      <c r="CZ636" s="181"/>
      <c r="DA636" s="181"/>
      <c r="DB636" s="181"/>
      <c r="DC636" s="181"/>
      <c r="DD636" s="181"/>
      <c r="DE636" s="181"/>
      <c r="DF636" s="181"/>
    </row>
    <row r="637" spans="1:157" ht="13.1">
      <c r="B637" s="83" t="s">
        <v>117</v>
      </c>
      <c r="C637" s="2047" t="s">
        <v>2677</v>
      </c>
      <c r="D637" s="1992"/>
      <c r="E637" s="1992"/>
      <c r="F637" s="1992"/>
      <c r="G637" s="1992"/>
      <c r="H637" s="1992"/>
      <c r="I637" s="1992"/>
      <c r="J637" s="1992"/>
      <c r="K637" s="1992"/>
      <c r="L637" s="1992"/>
      <c r="M637" s="1992"/>
      <c r="N637" s="2024"/>
      <c r="O637" s="2035">
        <v>360</v>
      </c>
      <c r="P637" s="2036"/>
      <c r="Q637" s="2037"/>
      <c r="R637" s="2004">
        <v>480</v>
      </c>
      <c r="S637" s="2005"/>
      <c r="T637" s="2006"/>
      <c r="U637" s="2010">
        <v>4.4999999999999998E-2</v>
      </c>
      <c r="V637" s="2011"/>
      <c r="W637" s="2012"/>
      <c r="X637" s="2007" t="s">
        <v>2089</v>
      </c>
      <c r="Y637" s="2008"/>
      <c r="Z637" s="2008"/>
      <c r="AA637" s="2008"/>
      <c r="AB637" s="2009"/>
      <c r="AC637" s="1999">
        <v>1</v>
      </c>
      <c r="AD637" s="2000"/>
      <c r="AE637" s="2001"/>
      <c r="AF637" s="2014">
        <v>1321716</v>
      </c>
      <c r="AG637" s="2015"/>
      <c r="AH637" s="2015"/>
      <c r="AI637" s="2015"/>
      <c r="AJ637" s="2016"/>
      <c r="AK637" s="2038"/>
      <c r="AL637" s="2039"/>
      <c r="AM637" s="2039"/>
      <c r="AN637" s="2040"/>
      <c r="AO637" s="2002">
        <v>24500000</v>
      </c>
      <c r="AP637" s="2002"/>
      <c r="AQ637" s="2002"/>
      <c r="AR637" s="2002"/>
      <c r="AS637" s="2002"/>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50</v>
      </c>
      <c r="BS637" s="58"/>
      <c r="BT637" s="58"/>
      <c r="BU637" s="58"/>
      <c r="BV637" s="58"/>
      <c r="BW637" s="1419">
        <f>BS635*1</f>
        <v>93</v>
      </c>
      <c r="BX637" s="58"/>
      <c r="BY637" s="58"/>
      <c r="BZ637" s="58"/>
      <c r="CA637" s="58"/>
      <c r="CB637" s="1419">
        <f>BX635*2</f>
        <v>146</v>
      </c>
      <c r="CC637" s="58"/>
      <c r="CD637" s="58"/>
      <c r="CE637" s="58"/>
      <c r="CF637" s="58"/>
      <c r="CG637" s="1419">
        <f>CC635*3</f>
        <v>225</v>
      </c>
      <c r="CH637" s="58"/>
      <c r="CI637" s="58"/>
      <c r="CJ637" s="58"/>
      <c r="CK637" s="58"/>
      <c r="CL637" s="1419">
        <f>CH635*4</f>
        <v>0</v>
      </c>
      <c r="CM637" s="58"/>
      <c r="CN637" s="58"/>
      <c r="CO637" s="58"/>
      <c r="CP637" s="58"/>
      <c r="CQ637" s="1419">
        <f>CM635*5</f>
        <v>0</v>
      </c>
      <c r="CS637" s="1419">
        <f>BR637+BW637+CB637+CG637+CL637+CQ637</f>
        <v>514</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7" t="s">
        <v>2632</v>
      </c>
      <c r="D638" s="1992"/>
      <c r="E638" s="1992"/>
      <c r="F638" s="1992"/>
      <c r="G638" s="1992"/>
      <c r="H638" s="1992"/>
      <c r="I638" s="1992"/>
      <c r="J638" s="1992"/>
      <c r="K638" s="1992"/>
      <c r="L638" s="1992"/>
      <c r="M638" s="1992"/>
      <c r="N638" s="2024"/>
      <c r="O638" s="2035">
        <v>444</v>
      </c>
      <c r="P638" s="2036"/>
      <c r="Q638" s="2037"/>
      <c r="R638" s="2004">
        <v>444</v>
      </c>
      <c r="S638" s="2005"/>
      <c r="T638" s="2006"/>
      <c r="U638" s="2010">
        <v>0.04</v>
      </c>
      <c r="V638" s="2011"/>
      <c r="W638" s="2012"/>
      <c r="X638" s="2007" t="s">
        <v>490</v>
      </c>
      <c r="Y638" s="2008"/>
      <c r="Z638" s="2008"/>
      <c r="AA638" s="2008"/>
      <c r="AB638" s="2009"/>
      <c r="AC638" s="1999">
        <v>2</v>
      </c>
      <c r="AD638" s="2000"/>
      <c r="AE638" s="2001"/>
      <c r="AF638" s="2014" t="s">
        <v>2647</v>
      </c>
      <c r="AG638" s="2015"/>
      <c r="AH638" s="2015"/>
      <c r="AI638" s="2015"/>
      <c r="AJ638" s="2016"/>
      <c r="AK638" s="2038"/>
      <c r="AL638" s="2039"/>
      <c r="AM638" s="2039"/>
      <c r="AN638" s="2040"/>
      <c r="AO638" s="2002">
        <v>6000000</v>
      </c>
      <c r="AP638" s="2002"/>
      <c r="AQ638" s="2002"/>
      <c r="AR638" s="2002"/>
      <c r="AS638" s="200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f t="shared" ref="DX638:DX662" si="22">DX610*(BN610/$BN$635)</f>
        <v>39.6</v>
      </c>
      <c r="DY638" s="1980"/>
      <c r="DZ638" s="1980"/>
      <c r="EA638" s="1980"/>
      <c r="EB638" s="1980"/>
      <c r="EC638" s="1980" t="e">
        <f t="shared" ref="EC638:EC662" si="23">EC610*(BS610/$BS$635)</f>
        <v>#VALUE!</v>
      </c>
      <c r="ED638" s="1980"/>
      <c r="EE638" s="1980"/>
      <c r="EF638" s="1980"/>
      <c r="EG638" s="1980"/>
      <c r="EH638" s="1980" t="e">
        <f t="shared" ref="EH638:EH662" si="24">EH610*(BX610/$BX$635)</f>
        <v>#VALUE!</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2047" t="s">
        <v>2635</v>
      </c>
      <c r="D639" s="1992"/>
      <c r="E639" s="1992"/>
      <c r="F639" s="1992"/>
      <c r="G639" s="1992"/>
      <c r="H639" s="1992"/>
      <c r="I639" s="1992"/>
      <c r="J639" s="1992"/>
      <c r="K639" s="1992"/>
      <c r="L639" s="1992"/>
      <c r="M639" s="1992"/>
      <c r="N639" s="2024"/>
      <c r="O639" s="2035">
        <v>156</v>
      </c>
      <c r="P639" s="2036"/>
      <c r="Q639" s="2037"/>
      <c r="R639" s="2004">
        <v>156</v>
      </c>
      <c r="S639" s="2005"/>
      <c r="T639" s="2006"/>
      <c r="U639" s="2010">
        <v>9.9999999999999995E-8</v>
      </c>
      <c r="V639" s="2011"/>
      <c r="W639" s="2012"/>
      <c r="X639" s="2007" t="s">
        <v>490</v>
      </c>
      <c r="Y639" s="2008"/>
      <c r="Z639" s="2008"/>
      <c r="AA639" s="2008"/>
      <c r="AB639" s="2009"/>
      <c r="AC639" s="1999" t="s">
        <v>626</v>
      </c>
      <c r="AD639" s="2000"/>
      <c r="AE639" s="2001"/>
      <c r="AF639" s="2014" t="s">
        <v>2647</v>
      </c>
      <c r="AG639" s="2015"/>
      <c r="AH639" s="2015"/>
      <c r="AI639" s="2015"/>
      <c r="AJ639" s="2016"/>
      <c r="AK639" s="2038"/>
      <c r="AL639" s="2039"/>
      <c r="AM639" s="2039"/>
      <c r="AN639" s="2040"/>
      <c r="AO639" s="2002">
        <v>7443016</v>
      </c>
      <c r="AP639" s="2002"/>
      <c r="AQ639" s="2002"/>
      <c r="AR639" s="2002"/>
      <c r="AS639" s="200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f t="shared" si="22"/>
        <v>71.3</v>
      </c>
      <c r="DY639" s="1980"/>
      <c r="DZ639" s="1980"/>
      <c r="EA639" s="1980"/>
      <c r="EB639" s="1980"/>
      <c r="EC639" s="1980" t="e">
        <f t="shared" si="23"/>
        <v>#VALUE!</v>
      </c>
      <c r="ED639" s="1980"/>
      <c r="EE639" s="1980"/>
      <c r="EF639" s="1980"/>
      <c r="EG639" s="1980"/>
      <c r="EH639" s="1980" t="e">
        <f t="shared" si="24"/>
        <v>#VALUE!</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2.6">
      <c r="B640" s="84" t="s">
        <v>616</v>
      </c>
      <c r="C640" s="1992"/>
      <c r="D640" s="1992"/>
      <c r="E640" s="1992"/>
      <c r="F640" s="1992"/>
      <c r="G640" s="1992"/>
      <c r="H640" s="1992"/>
      <c r="I640" s="1992"/>
      <c r="J640" s="1992"/>
      <c r="K640" s="1992"/>
      <c r="L640" s="1992"/>
      <c r="M640" s="1992"/>
      <c r="N640" s="2024"/>
      <c r="O640" s="2035"/>
      <c r="P640" s="2036"/>
      <c r="Q640" s="2037"/>
      <c r="R640" s="2004"/>
      <c r="S640" s="2005"/>
      <c r="T640" s="2006"/>
      <c r="U640" s="2010"/>
      <c r="V640" s="2011"/>
      <c r="W640" s="2012"/>
      <c r="X640" s="2007"/>
      <c r="Y640" s="2008"/>
      <c r="Z640" s="2008"/>
      <c r="AA640" s="2008"/>
      <c r="AB640" s="2009"/>
      <c r="AC640" s="1999"/>
      <c r="AD640" s="2000"/>
      <c r="AE640" s="2001"/>
      <c r="AF640" s="2014"/>
      <c r="AG640" s="2015"/>
      <c r="AH640" s="2015"/>
      <c r="AI640" s="2015"/>
      <c r="AJ640" s="2016"/>
      <c r="AK640" s="2038"/>
      <c r="AL640" s="2039"/>
      <c r="AM640" s="2039"/>
      <c r="AN640" s="2040"/>
      <c r="AO640" s="2002"/>
      <c r="AP640" s="2002"/>
      <c r="AQ640" s="2002"/>
      <c r="AR640" s="2002"/>
      <c r="AS640" s="2002"/>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3</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f t="shared" si="22"/>
        <v>523.19999999999993</v>
      </c>
      <c r="DY640" s="1980"/>
      <c r="DZ640" s="1980"/>
      <c r="EA640" s="1980"/>
      <c r="EB640" s="1980"/>
      <c r="EC640" s="1980" t="e">
        <f t="shared" si="23"/>
        <v>#VALUE!</v>
      </c>
      <c r="ED640" s="1980"/>
      <c r="EE640" s="1980"/>
      <c r="EF640" s="1980"/>
      <c r="EG640" s="1980"/>
      <c r="EH640" s="1980" t="e">
        <f t="shared" si="24"/>
        <v>#VALUE!</v>
      </c>
      <c r="EI640" s="1980"/>
      <c r="EJ640" s="1980"/>
      <c r="EK640" s="1980"/>
      <c r="EL640" s="1980"/>
      <c r="EM640" s="1980" t="e">
        <f t="shared" si="25"/>
        <v>#VALUE!</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2.6">
      <c r="B641" s="84" t="s">
        <v>821</v>
      </c>
      <c r="C641" s="1992"/>
      <c r="D641" s="1992"/>
      <c r="E641" s="1992"/>
      <c r="F641" s="1992"/>
      <c r="G641" s="1992"/>
      <c r="H641" s="1992"/>
      <c r="I641" s="1992"/>
      <c r="J641" s="1992"/>
      <c r="K641" s="1992"/>
      <c r="L641" s="1992"/>
      <c r="M641" s="1992"/>
      <c r="N641" s="2024"/>
      <c r="O641" s="2035"/>
      <c r="P641" s="2036"/>
      <c r="Q641" s="2037"/>
      <c r="R641" s="2004"/>
      <c r="S641" s="2005"/>
      <c r="T641" s="2006"/>
      <c r="U641" s="2010"/>
      <c r="V641" s="2011"/>
      <c r="W641" s="2012"/>
      <c r="X641" s="2007"/>
      <c r="Y641" s="2008"/>
      <c r="Z641" s="2008"/>
      <c r="AA641" s="2008"/>
      <c r="AB641" s="2009"/>
      <c r="AC641" s="1999"/>
      <c r="AD641" s="2000"/>
      <c r="AE641" s="2001"/>
      <c r="AF641" s="2014"/>
      <c r="AG641" s="2015"/>
      <c r="AH641" s="2015"/>
      <c r="AI641" s="2015"/>
      <c r="AJ641" s="2016"/>
      <c r="AK641" s="2038"/>
      <c r="AL641" s="2039"/>
      <c r="AM641" s="2039"/>
      <c r="AN641" s="2040"/>
      <c r="AO641" s="2002"/>
      <c r="AP641" s="2002"/>
      <c r="AQ641" s="2002"/>
      <c r="AR641" s="2002"/>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f t="shared" si="22"/>
        <v>238</v>
      </c>
      <c r="DY641" s="1980"/>
      <c r="DZ641" s="1980"/>
      <c r="EA641" s="1980"/>
      <c r="EB641" s="1980"/>
      <c r="EC641" s="1980" t="e">
        <f t="shared" si="23"/>
        <v>#VALUE!</v>
      </c>
      <c r="ED641" s="1980"/>
      <c r="EE641" s="1980"/>
      <c r="EF641" s="1980"/>
      <c r="EG641" s="1980"/>
      <c r="EH641" s="1980" t="e">
        <f t="shared" si="24"/>
        <v>#VALUE!</v>
      </c>
      <c r="EI641" s="1980"/>
      <c r="EJ641" s="1980"/>
      <c r="EK641" s="1980"/>
      <c r="EL641" s="1980"/>
      <c r="EM641" s="1980" t="e">
        <f t="shared" si="25"/>
        <v>#VALUE!</v>
      </c>
      <c r="EN641" s="1980"/>
      <c r="EO641" s="1980"/>
      <c r="EP641" s="1980"/>
      <c r="EQ641" s="1980"/>
      <c r="ER641" s="1980" t="e">
        <f t="shared" si="26"/>
        <v>#VALUE!</v>
      </c>
      <c r="ES641" s="1980"/>
      <c r="ET641" s="1980"/>
      <c r="EU641" s="1980"/>
      <c r="EV641" s="1980"/>
      <c r="EW641" s="1980" t="e">
        <f t="shared" si="27"/>
        <v>#VALUE!</v>
      </c>
      <c r="EX641" s="1980"/>
      <c r="EY641" s="1980"/>
      <c r="EZ641" s="1980"/>
      <c r="FA641" s="1980"/>
    </row>
    <row r="642" spans="1:157" ht="12.6">
      <c r="B642" s="84" t="s">
        <v>619</v>
      </c>
      <c r="C642" s="1992"/>
      <c r="D642" s="1992"/>
      <c r="E642" s="1992"/>
      <c r="F642" s="1992"/>
      <c r="G642" s="1992"/>
      <c r="H642" s="1992"/>
      <c r="I642" s="1992"/>
      <c r="J642" s="1992"/>
      <c r="K642" s="1992"/>
      <c r="L642" s="1992"/>
      <c r="M642" s="1992"/>
      <c r="N642" s="2024"/>
      <c r="O642" s="2035"/>
      <c r="P642" s="2036"/>
      <c r="Q642" s="2037"/>
      <c r="R642" s="2004"/>
      <c r="S642" s="2005"/>
      <c r="T642" s="2006"/>
      <c r="U642" s="2010"/>
      <c r="V642" s="2011"/>
      <c r="W642" s="2012"/>
      <c r="X642" s="2007"/>
      <c r="Y642" s="2008"/>
      <c r="Z642" s="2008"/>
      <c r="AA642" s="2008"/>
      <c r="AB642" s="2009"/>
      <c r="AC642" s="1999"/>
      <c r="AD642" s="2000"/>
      <c r="AE642" s="2001"/>
      <c r="AF642" s="2014"/>
      <c r="AG642" s="2015"/>
      <c r="AH642" s="2015"/>
      <c r="AI642" s="2015"/>
      <c r="AJ642" s="2016"/>
      <c r="AK642" s="2038"/>
      <c r="AL642" s="2039"/>
      <c r="AM642" s="2039"/>
      <c r="AN642" s="2040"/>
      <c r="AO642" s="2002"/>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80" t="e">
        <f t="shared" si="22"/>
        <v>#VALUE!</v>
      </c>
      <c r="DY642" s="1980"/>
      <c r="DZ642" s="1980"/>
      <c r="EA642" s="1980"/>
      <c r="EB642" s="1980"/>
      <c r="EC642" s="1980">
        <f t="shared" si="23"/>
        <v>45.053763440860216</v>
      </c>
      <c r="ED642" s="1980"/>
      <c r="EE642" s="1980"/>
      <c r="EF642" s="1980"/>
      <c r="EG642" s="1980"/>
      <c r="EH642" s="1980" t="e">
        <f t="shared" si="24"/>
        <v>#VALUE!</v>
      </c>
      <c r="EI642" s="1980"/>
      <c r="EJ642" s="1980"/>
      <c r="EK642" s="1980"/>
      <c r="EL642" s="1980"/>
      <c r="EM642" s="1980" t="e">
        <f t="shared" si="25"/>
        <v>#VALUE!</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2.6">
      <c r="B643" s="84" t="s">
        <v>487</v>
      </c>
      <c r="C643" s="1992"/>
      <c r="D643" s="1992"/>
      <c r="E643" s="1992"/>
      <c r="F643" s="1992"/>
      <c r="G643" s="1992"/>
      <c r="H643" s="1992"/>
      <c r="I643" s="1992"/>
      <c r="J643" s="1992"/>
      <c r="K643" s="1992"/>
      <c r="L643" s="1992"/>
      <c r="M643" s="1992"/>
      <c r="N643" s="2024"/>
      <c r="O643" s="2035"/>
      <c r="P643" s="2036"/>
      <c r="Q643" s="2037"/>
      <c r="R643" s="2004"/>
      <c r="S643" s="2005"/>
      <c r="T643" s="2006"/>
      <c r="U643" s="2010"/>
      <c r="V643" s="2011"/>
      <c r="W643" s="2012"/>
      <c r="X643" s="2007"/>
      <c r="Y643" s="2008"/>
      <c r="Z643" s="2008"/>
      <c r="AA643" s="2008"/>
      <c r="AB643" s="2009"/>
      <c r="AC643" s="1999"/>
      <c r="AD643" s="2000"/>
      <c r="AE643" s="2001"/>
      <c r="AF643" s="2014"/>
      <c r="AG643" s="2015"/>
      <c r="AH643" s="2015"/>
      <c r="AI643" s="2015"/>
      <c r="AJ643" s="2016"/>
      <c r="AK643" s="2038"/>
      <c r="AL643" s="2039"/>
      <c r="AM643" s="2039"/>
      <c r="AN643" s="2040"/>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f t="shared" si="23"/>
        <v>81.612903225806448</v>
      </c>
      <c r="ED643" s="1980"/>
      <c r="EE643" s="1980"/>
      <c r="EF643" s="1980"/>
      <c r="EG643" s="1980"/>
      <c r="EH643" s="1980" t="e">
        <f t="shared" si="24"/>
        <v>#VALUE!</v>
      </c>
      <c r="EI643" s="1980"/>
      <c r="EJ643" s="1980"/>
      <c r="EK643" s="1980"/>
      <c r="EL643" s="1980"/>
      <c r="EM643" s="1980" t="e">
        <f t="shared" si="25"/>
        <v>#VALUE!</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3.1">
      <c r="B644" s="84" t="s">
        <v>488</v>
      </c>
      <c r="C644" s="1992"/>
      <c r="D644" s="1992"/>
      <c r="E644" s="1992"/>
      <c r="F644" s="1992"/>
      <c r="G644" s="1992"/>
      <c r="H644" s="1992"/>
      <c r="I644" s="1992"/>
      <c r="J644" s="1992"/>
      <c r="K644" s="1992"/>
      <c r="L644" s="1992"/>
      <c r="M644" s="1992"/>
      <c r="N644" s="2024"/>
      <c r="O644" s="2035"/>
      <c r="P644" s="2036"/>
      <c r="Q644" s="2037"/>
      <c r="R644" s="2004"/>
      <c r="S644" s="2005"/>
      <c r="T644" s="2006"/>
      <c r="U644" s="2010"/>
      <c r="V644" s="2011"/>
      <c r="W644" s="2012"/>
      <c r="X644" s="2007"/>
      <c r="Y644" s="2008"/>
      <c r="Z644" s="2008"/>
      <c r="AA644" s="2008"/>
      <c r="AB644" s="2009"/>
      <c r="AC644" s="1999"/>
      <c r="AD644" s="2000"/>
      <c r="AE644" s="2001"/>
      <c r="AF644" s="2014"/>
      <c r="AG644" s="2015"/>
      <c r="AH644" s="2015"/>
      <c r="AI644" s="2015"/>
      <c r="AJ644" s="2016"/>
      <c r="AK644" s="2038"/>
      <c r="AL644" s="2039"/>
      <c r="AM644" s="2039"/>
      <c r="AN644" s="2040"/>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3</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3</v>
      </c>
      <c r="CT644" s="134" t="s">
        <v>2302</v>
      </c>
      <c r="CU644" s="58"/>
      <c r="CV644" s="58"/>
      <c r="CW644" s="58"/>
      <c r="CX644" s="58"/>
      <c r="CY644" s="58"/>
      <c r="CZ644" s="58"/>
      <c r="DA644" s="58"/>
      <c r="DB644" s="58"/>
      <c r="DC644" s="58"/>
      <c r="DD644" s="58"/>
      <c r="DE644" s="58"/>
      <c r="DF644" s="58"/>
      <c r="DX644" s="1980" t="e">
        <f t="shared" si="22"/>
        <v>#VALUE!</v>
      </c>
      <c r="DY644" s="1980"/>
      <c r="DZ644" s="1980"/>
      <c r="EA644" s="1980"/>
      <c r="EB644" s="1980"/>
      <c r="EC644" s="1980">
        <f t="shared" si="23"/>
        <v>549.40860215053772</v>
      </c>
      <c r="ED644" s="1980"/>
      <c r="EE644" s="1980"/>
      <c r="EF644" s="1980"/>
      <c r="EG644" s="1980"/>
      <c r="EH644" s="1980" t="e">
        <f t="shared" si="24"/>
        <v>#VALUE!</v>
      </c>
      <c r="EI644" s="1980"/>
      <c r="EJ644" s="1980"/>
      <c r="EK644" s="1980"/>
      <c r="EL644" s="1980"/>
      <c r="EM644" s="1980" t="e">
        <f t="shared" si="25"/>
        <v>#VALUE!</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3.1">
      <c r="B645" s="84" t="s">
        <v>494</v>
      </c>
      <c r="C645" s="1992"/>
      <c r="D645" s="1992"/>
      <c r="E645" s="1992"/>
      <c r="F645" s="1992"/>
      <c r="G645" s="1992"/>
      <c r="H645" s="1992"/>
      <c r="I645" s="1992"/>
      <c r="J645" s="1992"/>
      <c r="K645" s="1992"/>
      <c r="L645" s="1992"/>
      <c r="M645" s="1992"/>
      <c r="N645" s="2024"/>
      <c r="O645" s="2035"/>
      <c r="P645" s="2036"/>
      <c r="Q645" s="2037"/>
      <c r="R645" s="2004"/>
      <c r="S645" s="2005"/>
      <c r="T645" s="2006"/>
      <c r="U645" s="2010"/>
      <c r="V645" s="2011"/>
      <c r="W645" s="2012"/>
      <c r="X645" s="2007"/>
      <c r="Y645" s="2008"/>
      <c r="Z645" s="2008"/>
      <c r="AA645" s="2008"/>
      <c r="AB645" s="2009"/>
      <c r="AC645" s="1999"/>
      <c r="AD645" s="2000"/>
      <c r="AE645" s="2001"/>
      <c r="AF645" s="2014"/>
      <c r="AG645" s="2015"/>
      <c r="AH645" s="2015"/>
      <c r="AI645" s="2015"/>
      <c r="AJ645" s="2016"/>
      <c r="AK645" s="2038"/>
      <c r="AL645" s="2039"/>
      <c r="AM645" s="2039"/>
      <c r="AN645" s="2040"/>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6</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6</v>
      </c>
      <c r="CT645" s="134" t="s">
        <v>2304</v>
      </c>
      <c r="CU645" s="58"/>
      <c r="CV645" s="58"/>
      <c r="CW645" s="58"/>
      <c r="CX645" s="58"/>
      <c r="CY645" s="58"/>
      <c r="CZ645" s="58"/>
      <c r="DA645" s="58"/>
      <c r="DB645" s="58"/>
      <c r="DC645" s="58"/>
      <c r="DD645" s="58"/>
      <c r="DE645" s="58"/>
      <c r="DF645" s="58"/>
      <c r="DX645" s="1980" t="e">
        <f t="shared" si="22"/>
        <v>#VALUE!</v>
      </c>
      <c r="DY645" s="1980"/>
      <c r="DZ645" s="1980"/>
      <c r="EA645" s="1980"/>
      <c r="EB645" s="1980"/>
      <c r="EC645" s="1980">
        <f t="shared" si="23"/>
        <v>245.61290322580643</v>
      </c>
      <c r="ED645" s="1980"/>
      <c r="EE645" s="1980"/>
      <c r="EF645" s="1980"/>
      <c r="EG645" s="1980"/>
      <c r="EH645" s="1980" t="e">
        <f t="shared" si="24"/>
        <v>#VALUE!</v>
      </c>
      <c r="EI645" s="1980"/>
      <c r="EJ645" s="1980"/>
      <c r="EK645" s="1980"/>
      <c r="EL645" s="1980"/>
      <c r="EM645" s="1980" t="e">
        <f t="shared" si="25"/>
        <v>#VALUE!</v>
      </c>
      <c r="EN645" s="1980"/>
      <c r="EO645" s="1980"/>
      <c r="EP645" s="1980"/>
      <c r="EQ645" s="1980"/>
      <c r="ER645" s="1980" t="e">
        <f t="shared" si="26"/>
        <v>#VALUE!</v>
      </c>
      <c r="ES645" s="1980"/>
      <c r="ET645" s="1980"/>
      <c r="EU645" s="1980"/>
      <c r="EV645" s="1980"/>
      <c r="EW645" s="1980" t="e">
        <f t="shared" si="27"/>
        <v>#VALUE!</v>
      </c>
      <c r="EX645" s="1980"/>
      <c r="EY645" s="1980"/>
      <c r="EZ645" s="1980"/>
      <c r="FA645" s="1980"/>
    </row>
    <row r="646" spans="1:157" ht="12.6">
      <c r="B646" s="84" t="s">
        <v>681</v>
      </c>
      <c r="C646" s="1992"/>
      <c r="D646" s="1992"/>
      <c r="E646" s="1992"/>
      <c r="F646" s="1992"/>
      <c r="G646" s="1992"/>
      <c r="H646" s="1992"/>
      <c r="I646" s="1992"/>
      <c r="J646" s="1992"/>
      <c r="K646" s="1992"/>
      <c r="L646" s="1992"/>
      <c r="M646" s="1992"/>
      <c r="N646" s="2024"/>
      <c r="O646" s="2035"/>
      <c r="P646" s="2036"/>
      <c r="Q646" s="2037"/>
      <c r="R646" s="2004"/>
      <c r="S646" s="2005"/>
      <c r="T646" s="2006"/>
      <c r="U646" s="2010"/>
      <c r="V646" s="2011"/>
      <c r="W646" s="2012"/>
      <c r="X646" s="2007"/>
      <c r="Y646" s="2008"/>
      <c r="Z646" s="2008"/>
      <c r="AA646" s="2008"/>
      <c r="AB646" s="2009"/>
      <c r="AC646" s="1999"/>
      <c r="AD646" s="2000"/>
      <c r="AE646" s="2001"/>
      <c r="AF646" s="2014"/>
      <c r="AG646" s="2015"/>
      <c r="AH646" s="2015"/>
      <c r="AI646" s="2015"/>
      <c r="AJ646" s="2016"/>
      <c r="AK646" s="2038"/>
      <c r="AL646" s="2039"/>
      <c r="AM646" s="2039"/>
      <c r="AN646" s="2040"/>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t="e">
        <f t="shared" si="23"/>
        <v>#VALUE!</v>
      </c>
      <c r="ED646" s="1980"/>
      <c r="EE646" s="1980"/>
      <c r="EF646" s="1980"/>
      <c r="EG646" s="1980"/>
      <c r="EH646" s="1980">
        <f t="shared" si="24"/>
        <v>54.575342465753423</v>
      </c>
      <c r="EI646" s="1980"/>
      <c r="EJ646" s="1980"/>
      <c r="EK646" s="1980"/>
      <c r="EL646" s="1980"/>
      <c r="EM646" s="1980" t="e">
        <f t="shared" si="25"/>
        <v>#VALUE!</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2.6">
      <c r="B647" s="84" t="s">
        <v>372</v>
      </c>
      <c r="C647" s="1992"/>
      <c r="D647" s="1992"/>
      <c r="E647" s="1992"/>
      <c r="F647" s="1992"/>
      <c r="G647" s="1992"/>
      <c r="H647" s="1992"/>
      <c r="I647" s="1992"/>
      <c r="J647" s="1992"/>
      <c r="K647" s="1992"/>
      <c r="L647" s="1992"/>
      <c r="M647" s="1992"/>
      <c r="N647" s="2024"/>
      <c r="O647" s="2035"/>
      <c r="P647" s="2036"/>
      <c r="Q647" s="2037"/>
      <c r="R647" s="2004"/>
      <c r="S647" s="2005"/>
      <c r="T647" s="2006"/>
      <c r="U647" s="2010"/>
      <c r="V647" s="2011"/>
      <c r="W647" s="2012"/>
      <c r="X647" s="2007"/>
      <c r="Y647" s="2008"/>
      <c r="Z647" s="2008"/>
      <c r="AA647" s="2008"/>
      <c r="AB647" s="2009"/>
      <c r="AC647" s="1999"/>
      <c r="AD647" s="2000"/>
      <c r="AE647" s="2001"/>
      <c r="AF647" s="2014"/>
      <c r="AG647" s="2015"/>
      <c r="AH647" s="2015"/>
      <c r="AI647" s="2015"/>
      <c r="AJ647" s="2016"/>
      <c r="AK647" s="2038"/>
      <c r="AL647" s="2039"/>
      <c r="AM647" s="2039"/>
      <c r="AN647" s="2040"/>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f t="shared" si="24"/>
        <v>99.287671232876704</v>
      </c>
      <c r="EI647" s="1980"/>
      <c r="EJ647" s="1980"/>
      <c r="EK647" s="1980"/>
      <c r="EL647" s="1980"/>
      <c r="EM647" s="1980" t="e">
        <f t="shared" si="25"/>
        <v>#VALUE!</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2.6">
      <c r="B648" s="84" t="s">
        <v>373</v>
      </c>
      <c r="C648" s="1992"/>
      <c r="D648" s="1992"/>
      <c r="E648" s="1992"/>
      <c r="F648" s="1992"/>
      <c r="G648" s="1992"/>
      <c r="H648" s="1992"/>
      <c r="I648" s="1992"/>
      <c r="J648" s="1992"/>
      <c r="K648" s="1992"/>
      <c r="L648" s="1992"/>
      <c r="M648" s="1992"/>
      <c r="N648" s="2024"/>
      <c r="O648" s="2035"/>
      <c r="P648" s="2036"/>
      <c r="Q648" s="2037"/>
      <c r="R648" s="2004"/>
      <c r="S648" s="2005"/>
      <c r="T648" s="2006"/>
      <c r="U648" s="2010"/>
      <c r="V648" s="2011"/>
      <c r="W648" s="2012"/>
      <c r="X648" s="2007"/>
      <c r="Y648" s="2008"/>
      <c r="Z648" s="2008"/>
      <c r="AA648" s="2008"/>
      <c r="AB648" s="2009"/>
      <c r="AC648" s="1999"/>
      <c r="AD648" s="2000"/>
      <c r="AE648" s="2001"/>
      <c r="AF648" s="2014"/>
      <c r="AG648" s="2015"/>
      <c r="AH648" s="2015"/>
      <c r="AI648" s="2015"/>
      <c r="AJ648" s="2016"/>
      <c r="AK648" s="2038"/>
      <c r="AL648" s="2039"/>
      <c r="AM648" s="2039"/>
      <c r="AN648" s="2040"/>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f t="shared" si="24"/>
        <v>669.04109589041093</v>
      </c>
      <c r="EI648" s="1980"/>
      <c r="EJ648" s="1980"/>
      <c r="EK648" s="1980"/>
      <c r="EL648" s="1980"/>
      <c r="EM648" s="1980" t="e">
        <f t="shared" si="25"/>
        <v>#VALUE!</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3.1">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291">
        <f>SUM(AO637:AR648)</f>
        <v>37943016</v>
      </c>
      <c r="AP649" s="2292"/>
      <c r="AQ649" s="2292"/>
      <c r="AR649" s="2292"/>
      <c r="AS649" s="2293"/>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f t="shared" si="24"/>
        <v>270.32876712328766</v>
      </c>
      <c r="EI649" s="1980"/>
      <c r="EJ649" s="1980"/>
      <c r="EK649" s="1980"/>
      <c r="EL649" s="1980"/>
      <c r="EM649" s="1980" t="e">
        <f t="shared" si="25"/>
        <v>#VALUE!</v>
      </c>
      <c r="EN649" s="1980"/>
      <c r="EO649" s="1980"/>
      <c r="EP649" s="1980"/>
      <c r="EQ649" s="1980"/>
      <c r="ER649" s="1980" t="e">
        <f t="shared" si="26"/>
        <v>#VALUE!</v>
      </c>
      <c r="ES649" s="1980"/>
      <c r="ET649" s="1980"/>
      <c r="EU649" s="1980"/>
      <c r="EV649" s="1980"/>
      <c r="EW649" s="1980" t="e">
        <f t="shared" si="27"/>
        <v>#VALUE!</v>
      </c>
      <c r="EX649" s="1980"/>
      <c r="EY649" s="1980"/>
      <c r="EZ649" s="1980"/>
      <c r="FA649" s="1980"/>
    </row>
    <row r="650" spans="1:157" ht="12.75"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1982">
        <v>72652608</v>
      </c>
      <c r="AP650" s="1983"/>
      <c r="AQ650" s="1983"/>
      <c r="AR650" s="1983"/>
      <c r="AS650" s="1984"/>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t="e">
        <f t="shared" si="23"/>
        <v>#VALUE!</v>
      </c>
      <c r="ED650" s="1980"/>
      <c r="EE650" s="1980"/>
      <c r="EF650" s="1980"/>
      <c r="EG650" s="1980"/>
      <c r="EH650" s="1980" t="e">
        <f t="shared" si="24"/>
        <v>#VALUE!</v>
      </c>
      <c r="EI650" s="1980"/>
      <c r="EJ650" s="1980"/>
      <c r="EK650" s="1980"/>
      <c r="EL650" s="1980"/>
      <c r="EM650" s="1980">
        <f t="shared" si="25"/>
        <v>52.92</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78" t="s">
        <v>274</v>
      </c>
      <c r="C651" s="2379"/>
      <c r="D651" s="2379"/>
      <c r="E651" s="2379"/>
      <c r="F651" s="2379"/>
      <c r="G651" s="2379"/>
      <c r="H651" s="2379"/>
      <c r="I651" s="2379"/>
      <c r="J651" s="2379"/>
      <c r="K651" s="2379"/>
      <c r="L651" s="2379"/>
      <c r="M651" s="2379"/>
      <c r="N651" s="2379"/>
      <c r="O651" s="2379"/>
      <c r="P651" s="2379"/>
      <c r="Q651" s="2379"/>
      <c r="R651" s="2379"/>
      <c r="S651" s="2379"/>
      <c r="T651" s="2379"/>
      <c r="U651" s="2379"/>
      <c r="V651" s="2379"/>
      <c r="W651" s="2379"/>
      <c r="X651" s="2379"/>
      <c r="Y651" s="2379"/>
      <c r="Z651" s="2379"/>
      <c r="AA651" s="2379"/>
      <c r="AB651" s="2379"/>
      <c r="AC651" s="2379"/>
      <c r="AD651" s="2379"/>
      <c r="AE651" s="2379"/>
      <c r="AF651" s="2379"/>
      <c r="AG651" s="2379"/>
      <c r="AH651" s="2379"/>
      <c r="AI651" s="2379"/>
      <c r="AJ651" s="2379"/>
      <c r="AK651" s="2379"/>
      <c r="AL651" s="2379"/>
      <c r="AM651" s="2379"/>
      <c r="AN651" s="2380"/>
      <c r="AO651" s="2291">
        <f>AO649+AO650</f>
        <v>110595624</v>
      </c>
      <c r="AP651" s="2292"/>
      <c r="AQ651" s="2292"/>
      <c r="AR651" s="2292"/>
      <c r="AS651" s="2293"/>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t="e">
        <f t="shared" si="24"/>
        <v>#VALUE!</v>
      </c>
      <c r="EI651" s="1980"/>
      <c r="EJ651" s="1980"/>
      <c r="EK651" s="1980"/>
      <c r="EL651" s="1980"/>
      <c r="EM651" s="1980">
        <f t="shared" si="25"/>
        <v>96.973333333333343</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f t="shared" si="25"/>
        <v>747.4133333333333</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2.6">
      <c r="A653" s="87" t="s">
        <v>117</v>
      </c>
      <c r="B653" s="12" t="s">
        <v>496</v>
      </c>
      <c r="G653" s="1981" t="str">
        <f>C637</f>
        <v>Citibank - Perm Loan (T.E. Bonds)</v>
      </c>
      <c r="H653" s="1981"/>
      <c r="I653" s="1981"/>
      <c r="J653" s="1981"/>
      <c r="K653" s="1981"/>
      <c r="L653" s="1981"/>
      <c r="M653" s="1981"/>
      <c r="N653" s="1981"/>
      <c r="O653" s="1981"/>
      <c r="P653" s="1981"/>
      <c r="Q653" s="1981"/>
      <c r="R653" s="1981"/>
      <c r="S653" s="14"/>
      <c r="T653" s="87" t="s">
        <v>118</v>
      </c>
      <c r="U653" s="12" t="s">
        <v>496</v>
      </c>
      <c r="Z653" s="1981" t="str">
        <f>C638</f>
        <v>City of Elk Grove - Aff. Hsg. Funds Loan</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f t="shared" si="25"/>
        <v>395.76</v>
      </c>
      <c r="EN653" s="1980"/>
      <c r="EO653" s="1980"/>
      <c r="EP653" s="1980"/>
      <c r="EQ653" s="1980"/>
      <c r="ER653" s="1980" t="e">
        <f t="shared" si="26"/>
        <v>#VALUE!</v>
      </c>
      <c r="ES653" s="1980"/>
      <c r="ET653" s="1980"/>
      <c r="EU653" s="1980"/>
      <c r="EV653" s="1980"/>
      <c r="EW653" s="1980" t="e">
        <f t="shared" si="27"/>
        <v>#VALUE!</v>
      </c>
      <c r="EX653" s="1980"/>
      <c r="EY653" s="1980"/>
      <c r="EZ653" s="1980"/>
      <c r="FA653" s="1980"/>
    </row>
    <row r="654" spans="1:157" ht="12.6">
      <c r="A654" s="35"/>
      <c r="B654" s="12" t="s">
        <v>90</v>
      </c>
      <c r="G654" s="2013" t="s">
        <v>2639</v>
      </c>
      <c r="H654" s="2013"/>
      <c r="I654" s="2013"/>
      <c r="J654" s="2013"/>
      <c r="K654" s="2013"/>
      <c r="L654" s="2013"/>
      <c r="M654" s="2013"/>
      <c r="N654" s="2013"/>
      <c r="O654" s="2013"/>
      <c r="P654" s="2013"/>
      <c r="Q654" s="2013"/>
      <c r="R654" s="2013"/>
      <c r="S654" s="14"/>
      <c r="T654" s="35"/>
      <c r="U654" s="12" t="s">
        <v>90</v>
      </c>
      <c r="Z654" s="2013" t="s">
        <v>2525</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t="e">
        <f t="shared" si="23"/>
        <v>#VALUE!</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2.6">
      <c r="A655" s="35"/>
      <c r="B655" s="12" t="s">
        <v>615</v>
      </c>
      <c r="G655" s="2013" t="s">
        <v>2640</v>
      </c>
      <c r="H655" s="2013"/>
      <c r="I655" s="2013"/>
      <c r="J655" s="2013"/>
      <c r="K655" s="2013"/>
      <c r="L655" s="2013"/>
      <c r="M655" s="2013"/>
      <c r="N655" s="2013"/>
      <c r="O655" s="2013"/>
      <c r="P655" s="2013"/>
      <c r="Q655" s="2013"/>
      <c r="R655" s="2013"/>
      <c r="S655" s="88"/>
      <c r="T655" s="35"/>
      <c r="U655" s="12" t="s">
        <v>615</v>
      </c>
      <c r="Z655" s="1993" t="s">
        <v>2648</v>
      </c>
      <c r="AA655" s="1993"/>
      <c r="AB655" s="1993"/>
      <c r="AC655" s="1993"/>
      <c r="AD655" s="1993"/>
      <c r="AE655" s="1993"/>
      <c r="AF655" s="1993"/>
      <c r="AG655" s="1993"/>
      <c r="AH655" s="1993"/>
      <c r="AI655" s="1993"/>
      <c r="AJ655" s="1993"/>
      <c r="AK655" s="1993"/>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t="e">
        <f t="shared" si="24"/>
        <v>#VALUE!</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2.6">
      <c r="A656" s="35"/>
      <c r="B656" s="12" t="s">
        <v>17</v>
      </c>
      <c r="G656" s="2013" t="s">
        <v>2641</v>
      </c>
      <c r="H656" s="2013"/>
      <c r="I656" s="2013"/>
      <c r="J656" s="2013"/>
      <c r="K656" s="2013"/>
      <c r="L656" s="2013"/>
      <c r="M656" s="2013"/>
      <c r="N656" s="2013"/>
      <c r="O656" s="2013"/>
      <c r="P656" s="2013"/>
      <c r="Q656" s="2013"/>
      <c r="R656" s="2013"/>
      <c r="S656" s="14"/>
      <c r="T656" s="35"/>
      <c r="U656" s="12" t="s">
        <v>17</v>
      </c>
      <c r="Z656" s="1993" t="s">
        <v>2649</v>
      </c>
      <c r="AA656" s="1993"/>
      <c r="AB656" s="1993"/>
      <c r="AC656" s="1993"/>
      <c r="AD656" s="1993"/>
      <c r="AE656" s="1993"/>
      <c r="AF656" s="1993"/>
      <c r="AG656" s="1993"/>
      <c r="AH656" s="1993"/>
      <c r="AI656" s="1993"/>
      <c r="AJ656" s="1993"/>
      <c r="AK656" s="1993"/>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t="e">
        <f t="shared" si="25"/>
        <v>#VALUE!</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2.6">
      <c r="A657" s="35"/>
      <c r="B657" s="12" t="s">
        <v>325</v>
      </c>
      <c r="G657" s="2262" t="s">
        <v>2642</v>
      </c>
      <c r="H657" s="2034"/>
      <c r="I657" s="2034"/>
      <c r="J657" s="2034"/>
      <c r="K657" s="2034"/>
      <c r="L657" s="2034"/>
      <c r="O657" s="137" t="s">
        <v>212</v>
      </c>
      <c r="P657" s="1992"/>
      <c r="Q657" s="1992"/>
      <c r="R657" s="1992"/>
      <c r="S657" s="16"/>
      <c r="T657" s="35"/>
      <c r="U657" s="12" t="s">
        <v>325</v>
      </c>
      <c r="Z657" s="2262" t="s">
        <v>2650</v>
      </c>
      <c r="AA657" s="2034"/>
      <c r="AB657" s="2034"/>
      <c r="AC657" s="2034"/>
      <c r="AD657" s="2034"/>
      <c r="AE657" s="2034"/>
      <c r="AH657" s="137" t="s">
        <v>212</v>
      </c>
      <c r="AI657" s="1992"/>
      <c r="AJ657" s="1992"/>
      <c r="AK657" s="1992"/>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t="e">
        <f t="shared" si="26"/>
        <v>#VALUE!</v>
      </c>
      <c r="ES657" s="1980"/>
      <c r="ET657" s="1980"/>
      <c r="EU657" s="1980"/>
      <c r="EV657" s="1980"/>
      <c r="EW657" s="1980" t="e">
        <f t="shared" si="27"/>
        <v>#VALUE!</v>
      </c>
      <c r="EX657" s="1980"/>
      <c r="EY657" s="1980"/>
      <c r="EZ657" s="1980"/>
      <c r="FA657" s="1980"/>
    </row>
    <row r="658" spans="1:157" ht="12.6">
      <c r="A658" s="35"/>
      <c r="B658" s="12" t="s">
        <v>18</v>
      </c>
      <c r="H658" s="2013" t="s">
        <v>2651</v>
      </c>
      <c r="I658" s="2013"/>
      <c r="J658" s="2013"/>
      <c r="K658" s="2013"/>
      <c r="L658" s="2013"/>
      <c r="M658" s="2013"/>
      <c r="N658" s="2013"/>
      <c r="O658" s="2013"/>
      <c r="P658" s="2013"/>
      <c r="Q658" s="2013"/>
      <c r="R658" s="2013"/>
      <c r="S658" s="14"/>
      <c r="T658" s="35"/>
      <c r="U658" s="12" t="s">
        <v>18</v>
      </c>
      <c r="AA658" s="2013" t="s">
        <v>2652</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2.6">
      <c r="A659" s="35"/>
      <c r="B659" s="12" t="s">
        <v>20</v>
      </c>
      <c r="N659" s="1991" t="s">
        <v>578</v>
      </c>
      <c r="O659" s="1991"/>
      <c r="T659" s="35"/>
      <c r="U659" s="12" t="s">
        <v>20</v>
      </c>
      <c r="AG659" s="1991" t="s">
        <v>578</v>
      </c>
      <c r="AH659" s="199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3.1">
      <c r="A661" s="87" t="s">
        <v>124</v>
      </c>
      <c r="B661" s="12" t="s">
        <v>496</v>
      </c>
      <c r="G661" s="1981" t="str">
        <f>C639</f>
        <v>Pacific West Communities, Inc. - DDF</v>
      </c>
      <c r="H661" s="1981"/>
      <c r="I661" s="1981"/>
      <c r="J661" s="1981"/>
      <c r="K661" s="1981"/>
      <c r="L661" s="1981"/>
      <c r="M661" s="1981"/>
      <c r="N661" s="1981"/>
      <c r="O661" s="1981"/>
      <c r="P661" s="1981"/>
      <c r="Q661" s="1981"/>
      <c r="R661" s="1981"/>
      <c r="T661" s="87" t="s">
        <v>616</v>
      </c>
      <c r="U661" s="12" t="s">
        <v>496</v>
      </c>
      <c r="Z661" s="1981">
        <f>C640</f>
        <v>0</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2.6">
      <c r="A662" s="35"/>
      <c r="B662" s="12" t="s">
        <v>90</v>
      </c>
      <c r="G662" s="2013" t="s">
        <v>2536</v>
      </c>
      <c r="H662" s="2013"/>
      <c r="I662" s="2013"/>
      <c r="J662" s="2013"/>
      <c r="K662" s="2013"/>
      <c r="L662" s="2013"/>
      <c r="M662" s="2013"/>
      <c r="N662" s="2013"/>
      <c r="O662" s="2013"/>
      <c r="P662" s="2013"/>
      <c r="Q662" s="2013"/>
      <c r="R662" s="2013"/>
      <c r="T662" s="35"/>
      <c r="U662" s="12" t="s">
        <v>90</v>
      </c>
      <c r="Z662" s="2013"/>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3.1">
      <c r="A663" s="35"/>
      <c r="B663" s="12" t="s">
        <v>615</v>
      </c>
      <c r="G663" s="1993" t="s">
        <v>2568</v>
      </c>
      <c r="H663" s="1993"/>
      <c r="I663" s="1993"/>
      <c r="J663" s="1993"/>
      <c r="K663" s="1993"/>
      <c r="L663" s="1993"/>
      <c r="M663" s="1993"/>
      <c r="N663" s="1993"/>
      <c r="O663" s="1993"/>
      <c r="P663" s="1993"/>
      <c r="Q663" s="1993"/>
      <c r="R663" s="1993"/>
      <c r="T663" s="35"/>
      <c r="U663" s="12" t="s">
        <v>615</v>
      </c>
      <c r="Z663" s="1993"/>
      <c r="AA663" s="1993"/>
      <c r="AB663" s="1993"/>
      <c r="AC663" s="1993"/>
      <c r="AD663" s="1993"/>
      <c r="AE663" s="1993"/>
      <c r="AF663" s="1993"/>
      <c r="AG663" s="1993"/>
      <c r="AH663" s="1993"/>
      <c r="AI663" s="1993"/>
      <c r="AJ663" s="1993"/>
      <c r="AK663" s="1993"/>
      <c r="AZ663" s="61"/>
      <c r="BA663" s="61"/>
      <c r="BB663" s="61"/>
      <c r="BC663" s="61"/>
      <c r="BD663" s="61"/>
      <c r="BE663" s="61"/>
      <c r="BF663" s="61"/>
      <c r="BG663" s="61"/>
      <c r="BH663" s="61"/>
      <c r="BI663" s="61"/>
      <c r="BJ663" s="61"/>
      <c r="BK663" s="61"/>
      <c r="BL663" s="61"/>
      <c r="BM663" s="61"/>
      <c r="BN663" s="1973">
        <f>BN635+BN644+BN658</f>
        <v>50</v>
      </c>
      <c r="BO663" s="1974"/>
      <c r="BP663" s="1974"/>
      <c r="BQ663" s="1974"/>
      <c r="BR663" s="1975"/>
      <c r="BS663" s="1973">
        <f>BS635+BS644+BS658</f>
        <v>93</v>
      </c>
      <c r="BT663" s="1974"/>
      <c r="BU663" s="1974"/>
      <c r="BV663" s="1974"/>
      <c r="BW663" s="1975"/>
      <c r="BX663" s="1973">
        <f>BX635+BX644+BX658</f>
        <v>76</v>
      </c>
      <c r="BY663" s="1974"/>
      <c r="BZ663" s="1974"/>
      <c r="CA663" s="1974"/>
      <c r="CB663" s="1975"/>
      <c r="CC663" s="1973">
        <f>CC635+CC644+CC658</f>
        <v>75</v>
      </c>
      <c r="CD663" s="1974"/>
      <c r="CE663" s="1974"/>
      <c r="CF663" s="1974"/>
      <c r="CG663" s="1975"/>
      <c r="CH663" s="1973">
        <f>CH635+CH644+CH658</f>
        <v>0</v>
      </c>
      <c r="CI663" s="1974"/>
      <c r="CJ663" s="1974"/>
      <c r="CK663" s="1974"/>
      <c r="CL663" s="1975"/>
      <c r="CM663" s="1995">
        <f>CM658+CM644+CM635</f>
        <v>0</v>
      </c>
      <c r="CN663" s="1996"/>
      <c r="CO663" s="1996"/>
      <c r="CP663" s="1996"/>
      <c r="CQ663" s="1997"/>
      <c r="CR663" s="177"/>
      <c r="CS663" s="1419">
        <f>CS637+CS661</f>
        <v>514</v>
      </c>
      <c r="CT663" s="134" t="s">
        <v>2306</v>
      </c>
      <c r="CU663" s="58"/>
      <c r="CV663" s="58"/>
      <c r="CW663" s="58"/>
      <c r="CX663" s="58"/>
      <c r="CY663" s="58"/>
      <c r="CZ663" s="58"/>
      <c r="DA663" s="58"/>
      <c r="DB663" s="58"/>
      <c r="DC663" s="58"/>
      <c r="DD663" s="58"/>
      <c r="DE663" s="58"/>
      <c r="DF663" s="58"/>
      <c r="DX663" s="1980">
        <f>SUMIF(DX638:EB662,"&gt;0")</f>
        <v>872.09999999999991</v>
      </c>
      <c r="DY663" s="1980"/>
      <c r="DZ663" s="1980"/>
      <c r="EA663" s="1980"/>
      <c r="EB663" s="1980"/>
      <c r="EC663" s="1980">
        <f>SUMIF(EC638:EG662,"&gt;0")</f>
        <v>921.68817204301081</v>
      </c>
      <c r="ED663" s="1980"/>
      <c r="EE663" s="1980"/>
      <c r="EF663" s="1980"/>
      <c r="EG663" s="1980"/>
      <c r="EH663" s="1980">
        <f>SUMIF(EH638:EL662,"&gt;0")</f>
        <v>1093.2328767123288</v>
      </c>
      <c r="EI663" s="1980"/>
      <c r="EJ663" s="1980"/>
      <c r="EK663" s="1980"/>
      <c r="EL663" s="1980"/>
      <c r="EM663" s="1980">
        <f>SUMIF(EM638:EQ662,"&gt;0")</f>
        <v>1293.0666666666666</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2.6">
      <c r="A664" s="35"/>
      <c r="B664" s="12" t="s">
        <v>17</v>
      </c>
      <c r="G664" s="1993" t="s">
        <v>2539</v>
      </c>
      <c r="H664" s="1993"/>
      <c r="I664" s="1993"/>
      <c r="J664" s="1993"/>
      <c r="K664" s="1993"/>
      <c r="L664" s="1993"/>
      <c r="M664" s="1993"/>
      <c r="N664" s="1993"/>
      <c r="O664" s="1993"/>
      <c r="P664" s="1993"/>
      <c r="Q664" s="1993"/>
      <c r="R664" s="1993"/>
      <c r="T664" s="35"/>
      <c r="U664" s="12" t="s">
        <v>17</v>
      </c>
      <c r="Z664" s="1993"/>
      <c r="AA664" s="1993"/>
      <c r="AB664" s="1993"/>
      <c r="AC664" s="1993"/>
      <c r="AD664" s="1993"/>
      <c r="AE664" s="1993"/>
      <c r="AF664" s="1993"/>
      <c r="AG664" s="1993"/>
      <c r="AH664" s="1993"/>
      <c r="AI664" s="1993"/>
      <c r="AJ664" s="1993"/>
      <c r="AK664" s="199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2" t="s">
        <v>2540</v>
      </c>
      <c r="H665" s="2034"/>
      <c r="I665" s="2034"/>
      <c r="J665" s="2034"/>
      <c r="K665" s="2034"/>
      <c r="L665" s="2034"/>
      <c r="O665" s="137" t="s">
        <v>212</v>
      </c>
      <c r="P665" s="1992">
        <v>3015</v>
      </c>
      <c r="Q665" s="1992"/>
      <c r="R665" s="1992"/>
      <c r="T665" s="35"/>
      <c r="U665" s="12" t="s">
        <v>325</v>
      </c>
      <c r="Z665" s="2034"/>
      <c r="AA665" s="2034"/>
      <c r="AB665" s="2034"/>
      <c r="AC665" s="2034"/>
      <c r="AD665" s="2034"/>
      <c r="AE665" s="2034"/>
      <c r="AH665" s="137" t="s">
        <v>212</v>
      </c>
      <c r="AI665" s="1992"/>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3" t="s">
        <v>2065</v>
      </c>
      <c r="I666" s="2013"/>
      <c r="J666" s="2013"/>
      <c r="K666" s="2013"/>
      <c r="L666" s="2013"/>
      <c r="M666" s="2013"/>
      <c r="N666" s="2013"/>
      <c r="O666" s="2013"/>
      <c r="P666" s="2013"/>
      <c r="Q666" s="2013"/>
      <c r="R666" s="2013"/>
      <c r="T666" s="35"/>
      <c r="U666" s="12" t="s">
        <v>18</v>
      </c>
      <c r="AA666" s="2013"/>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1" t="s">
        <v>578</v>
      </c>
      <c r="O667" s="1991"/>
      <c r="T667" s="35"/>
      <c r="U667" s="12" t="s">
        <v>20</v>
      </c>
      <c r="AG667" s="1991" t="s">
        <v>706</v>
      </c>
      <c r="AH667" s="199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821</v>
      </c>
      <c r="B669" s="12" t="s">
        <v>496</v>
      </c>
      <c r="G669" s="1981">
        <f>C641</f>
        <v>0</v>
      </c>
      <c r="H669" s="1981"/>
      <c r="I669" s="1981"/>
      <c r="J669" s="1981"/>
      <c r="K669" s="1981"/>
      <c r="L669" s="1981"/>
      <c r="M669" s="1981"/>
      <c r="N669" s="1981"/>
      <c r="O669" s="1981"/>
      <c r="P669" s="1981"/>
      <c r="Q669" s="1981"/>
      <c r="R669" s="1981"/>
      <c r="T669" s="87" t="s">
        <v>619</v>
      </c>
      <c r="U669" s="12" t="s">
        <v>496</v>
      </c>
      <c r="Z669" s="1981">
        <f>C642</f>
        <v>0</v>
      </c>
      <c r="AA669" s="1981"/>
      <c r="AB669" s="1981"/>
      <c r="AC669" s="1981"/>
      <c r="AD669" s="1981"/>
      <c r="AE669" s="1981"/>
      <c r="AF669" s="1981"/>
      <c r="AG669" s="1981"/>
      <c r="AH669" s="1981"/>
      <c r="AI669" s="1981"/>
      <c r="AJ669" s="1981"/>
      <c r="AK669" s="1981"/>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13"/>
      <c r="H670" s="2013"/>
      <c r="I670" s="2013"/>
      <c r="J670" s="2013"/>
      <c r="K670" s="2013"/>
      <c r="L670" s="2013"/>
      <c r="M670" s="2013"/>
      <c r="N670" s="2013"/>
      <c r="O670" s="2013"/>
      <c r="P670" s="2013"/>
      <c r="Q670" s="2013"/>
      <c r="R670" s="2013"/>
      <c r="T670" s="35"/>
      <c r="U670" s="12" t="s">
        <v>90</v>
      </c>
      <c r="Z670" s="2013"/>
      <c r="AA670" s="2013"/>
      <c r="AB670" s="2013"/>
      <c r="AC670" s="2013"/>
      <c r="AD670" s="2013"/>
      <c r="AE670" s="2013"/>
      <c r="AF670" s="2013"/>
      <c r="AG670" s="2013"/>
      <c r="AH670" s="2013"/>
      <c r="AI670" s="2013"/>
      <c r="AJ670" s="2013"/>
      <c r="AK670" s="2013"/>
      <c r="AZ670" s="58"/>
      <c r="BA670" s="446">
        <f t="shared" ref="BA670:BA694" si="40">IF($G728=0,"N/A",VLOOKUP($T$189,TC_Rent,(MATCH($B728,bedrooms,FALSE))))</f>
        <v>1586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615</v>
      </c>
      <c r="G671" s="2013"/>
      <c r="H671" s="2013"/>
      <c r="I671" s="2013"/>
      <c r="J671" s="2013"/>
      <c r="K671" s="2013"/>
      <c r="L671" s="2013"/>
      <c r="M671" s="2013"/>
      <c r="N671" s="2013"/>
      <c r="O671" s="2013"/>
      <c r="P671" s="2013"/>
      <c r="Q671" s="2013"/>
      <c r="R671" s="2013"/>
      <c r="T671" s="35"/>
      <c r="U671" s="12" t="s">
        <v>615</v>
      </c>
      <c r="Z671" s="1993"/>
      <c r="AA671" s="1993"/>
      <c r="AB671" s="1993"/>
      <c r="AC671" s="1993"/>
      <c r="AD671" s="1993"/>
      <c r="AE671" s="1993"/>
      <c r="AF671" s="1993"/>
      <c r="AG671" s="1993"/>
      <c r="AH671" s="1993"/>
      <c r="AI671" s="1993"/>
      <c r="AJ671" s="1993"/>
      <c r="AK671" s="1993"/>
      <c r="AZ671" s="58"/>
      <c r="BA671" s="446">
        <f t="shared" si="40"/>
        <v>1586</v>
      </c>
      <c r="BB671" s="58"/>
      <c r="BC671" s="58"/>
      <c r="BD671" s="58"/>
      <c r="BE671" s="58"/>
      <c r="BF671" s="382"/>
      <c r="BG671" s="456">
        <f t="shared" ref="BG671:BG695" si="41">G728</f>
        <v>5</v>
      </c>
      <c r="BH671" s="460">
        <f>BG671/$BG$696</f>
        <v>1.7182130584192441E-2</v>
      </c>
      <c r="BI671" s="461">
        <f t="shared" ref="BI671:BI695" si="42">IF(BH671=0," ",BH671*AH728)</f>
        <v>5.1546391752577319E-3</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13"/>
      <c r="H672" s="2013"/>
      <c r="I672" s="2013"/>
      <c r="J672" s="2013"/>
      <c r="K672" s="2013"/>
      <c r="L672" s="2013"/>
      <c r="M672" s="2013"/>
      <c r="N672" s="2013"/>
      <c r="O672" s="2013"/>
      <c r="P672" s="2013"/>
      <c r="Q672" s="2013"/>
      <c r="R672" s="2013"/>
      <c r="T672" s="35"/>
      <c r="U672" s="12" t="s">
        <v>17</v>
      </c>
      <c r="Z672" s="1993"/>
      <c r="AA672" s="1993"/>
      <c r="AB672" s="1993"/>
      <c r="AC672" s="1993"/>
      <c r="AD672" s="1993"/>
      <c r="AE672" s="1993"/>
      <c r="AF672" s="1993"/>
      <c r="AG672" s="1993"/>
      <c r="AH672" s="1993"/>
      <c r="AI672" s="1993"/>
      <c r="AJ672" s="1993"/>
      <c r="AK672" s="1993"/>
      <c r="AZ672" s="58"/>
      <c r="BA672" s="446">
        <f t="shared" si="40"/>
        <v>1586</v>
      </c>
      <c r="BB672" s="58"/>
      <c r="BC672" s="58"/>
      <c r="BD672" s="58"/>
      <c r="BE672" s="58"/>
      <c r="BF672" s="382"/>
      <c r="BG672" s="457">
        <f t="shared" si="41"/>
        <v>5</v>
      </c>
      <c r="BH672" s="460">
        <f t="shared" ref="BH672:BH695" si="43">BG672/$BG$696</f>
        <v>1.7182130584192441E-2</v>
      </c>
      <c r="BI672" s="461">
        <f t="shared" si="42"/>
        <v>8.5910652920962206E-3</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034"/>
      <c r="H673" s="2034"/>
      <c r="I673" s="2034"/>
      <c r="J673" s="2034"/>
      <c r="K673" s="2034"/>
      <c r="L673" s="2034"/>
      <c r="O673" s="137" t="s">
        <v>212</v>
      </c>
      <c r="P673" s="1992"/>
      <c r="Q673" s="1992"/>
      <c r="R673" s="1992"/>
      <c r="T673" s="35"/>
      <c r="U673" s="12" t="s">
        <v>325</v>
      </c>
      <c r="Z673" s="2034"/>
      <c r="AA673" s="2034"/>
      <c r="AB673" s="2034"/>
      <c r="AC673" s="2034"/>
      <c r="AD673" s="2034"/>
      <c r="AE673" s="2034"/>
      <c r="AH673" s="137" t="s">
        <v>212</v>
      </c>
      <c r="AI673" s="1992"/>
      <c r="AJ673" s="1992"/>
      <c r="AK673" s="1992"/>
      <c r="AZ673" s="58"/>
      <c r="BA673" s="446">
        <f t="shared" si="40"/>
        <v>1586</v>
      </c>
      <c r="BB673" s="58"/>
      <c r="BC673" s="58"/>
      <c r="BD673" s="58"/>
      <c r="BE673" s="58"/>
      <c r="BF673" s="382"/>
      <c r="BG673" s="457">
        <f t="shared" si="41"/>
        <v>30</v>
      </c>
      <c r="BH673" s="460">
        <f t="shared" si="43"/>
        <v>0.10309278350515463</v>
      </c>
      <c r="BI673" s="461">
        <f t="shared" si="42"/>
        <v>6.1855670103092779E-2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13"/>
      <c r="I674" s="2013"/>
      <c r="J674" s="2013"/>
      <c r="K674" s="2013"/>
      <c r="L674" s="2013"/>
      <c r="M674" s="2013"/>
      <c r="N674" s="2013"/>
      <c r="O674" s="2013"/>
      <c r="P674" s="2013"/>
      <c r="Q674" s="2013"/>
      <c r="R674" s="2013"/>
      <c r="T674" s="35"/>
      <c r="U674" s="12" t="s">
        <v>18</v>
      </c>
      <c r="AA674" s="2013"/>
      <c r="AB674" s="2013"/>
      <c r="AC674" s="2013"/>
      <c r="AD674" s="2013"/>
      <c r="AE674" s="2013"/>
      <c r="AF674" s="2013"/>
      <c r="AG674" s="2013"/>
      <c r="AH674" s="2013"/>
      <c r="AI674" s="2013"/>
      <c r="AJ674" s="2013"/>
      <c r="AK674" s="2013"/>
      <c r="AZ674" s="58"/>
      <c r="BA674" s="446">
        <f t="shared" si="40"/>
        <v>1700</v>
      </c>
      <c r="BB674" s="58"/>
      <c r="BC674" s="58"/>
      <c r="BD674" s="58"/>
      <c r="BE674" s="58"/>
      <c r="BF674" s="382"/>
      <c r="BG674" s="457">
        <f t="shared" si="41"/>
        <v>10</v>
      </c>
      <c r="BH674" s="460">
        <f t="shared" si="43"/>
        <v>3.4364261168384883E-2</v>
      </c>
      <c r="BI674" s="461">
        <f t="shared" si="42"/>
        <v>2.7491408934707907E-2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1" t="s">
        <v>706</v>
      </c>
      <c r="O675" s="1991"/>
      <c r="T675" s="35"/>
      <c r="U675" s="12" t="s">
        <v>20</v>
      </c>
      <c r="AG675" s="1991" t="s">
        <v>706</v>
      </c>
      <c r="AH675" s="1991"/>
      <c r="AZ675" s="58"/>
      <c r="BA675" s="446">
        <f t="shared" si="40"/>
        <v>1700</v>
      </c>
      <c r="BB675" s="58"/>
      <c r="BC675" s="58"/>
      <c r="BD675" s="58"/>
      <c r="BE675" s="58"/>
      <c r="BF675" s="382"/>
      <c r="BG675" s="457">
        <f t="shared" si="41"/>
        <v>10</v>
      </c>
      <c r="BH675" s="460">
        <f t="shared" si="43"/>
        <v>3.4364261168384883E-2</v>
      </c>
      <c r="BI675" s="461">
        <f t="shared" si="42"/>
        <v>1.0309278350515464E-2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f t="shared" si="40"/>
        <v>1700</v>
      </c>
      <c r="BB676" s="58"/>
      <c r="BC676" s="58"/>
      <c r="BD676" s="58"/>
      <c r="BE676" s="58"/>
      <c r="BF676" s="382"/>
      <c r="BG676" s="457">
        <f t="shared" si="41"/>
        <v>10</v>
      </c>
      <c r="BH676" s="460">
        <f t="shared" si="43"/>
        <v>3.4364261168384883E-2</v>
      </c>
      <c r="BI676" s="461">
        <f t="shared" si="42"/>
        <v>1.7182130584192441E-2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487</v>
      </c>
      <c r="B677" s="12" t="s">
        <v>496</v>
      </c>
      <c r="G677" s="1981">
        <f>C643</f>
        <v>0</v>
      </c>
      <c r="H677" s="1981"/>
      <c r="I677" s="1981"/>
      <c r="J677" s="1981"/>
      <c r="K677" s="1981"/>
      <c r="L677" s="1981"/>
      <c r="M677" s="1981"/>
      <c r="N677" s="1981"/>
      <c r="O677" s="1981"/>
      <c r="P677" s="1981"/>
      <c r="Q677" s="1981"/>
      <c r="R677" s="1981"/>
      <c r="T677" s="87" t="s">
        <v>488</v>
      </c>
      <c r="U677" s="12" t="s">
        <v>496</v>
      </c>
      <c r="Z677" s="1981">
        <f>C644</f>
        <v>0</v>
      </c>
      <c r="AA677" s="1981"/>
      <c r="AB677" s="1981"/>
      <c r="AC677" s="1981"/>
      <c r="AD677" s="1981"/>
      <c r="AE677" s="1981"/>
      <c r="AF677" s="1981"/>
      <c r="AG677" s="1981"/>
      <c r="AH677" s="1981"/>
      <c r="AI677" s="1981"/>
      <c r="AJ677" s="1981"/>
      <c r="AK677" s="1981"/>
      <c r="AZ677" s="58"/>
      <c r="BA677" s="446">
        <f t="shared" si="40"/>
        <v>1700</v>
      </c>
      <c r="BB677" s="58"/>
      <c r="BC677" s="58"/>
      <c r="BD677" s="58"/>
      <c r="BE677" s="58"/>
      <c r="BF677" s="382"/>
      <c r="BG677" s="457">
        <f t="shared" si="41"/>
        <v>55</v>
      </c>
      <c r="BH677" s="460">
        <f t="shared" si="43"/>
        <v>0.18900343642611683</v>
      </c>
      <c r="BI677" s="461">
        <f t="shared" si="42"/>
        <v>0.11340206185567009</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6">
        <f t="shared" si="40"/>
        <v>2040</v>
      </c>
      <c r="BB678" s="58"/>
      <c r="BC678" s="58"/>
      <c r="BD678" s="58"/>
      <c r="BE678" s="58"/>
      <c r="BF678" s="382"/>
      <c r="BG678" s="457">
        <f t="shared" si="41"/>
        <v>18</v>
      </c>
      <c r="BH678" s="460">
        <f t="shared" si="43"/>
        <v>6.1855670103092786E-2</v>
      </c>
      <c r="BI678" s="461">
        <f t="shared" si="42"/>
        <v>4.9484536082474231E-2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615</v>
      </c>
      <c r="G679" s="2013"/>
      <c r="H679" s="2013"/>
      <c r="I679" s="2013"/>
      <c r="J679" s="2013"/>
      <c r="K679" s="2013"/>
      <c r="L679" s="2013"/>
      <c r="M679" s="2013"/>
      <c r="N679" s="2013"/>
      <c r="O679" s="2013"/>
      <c r="P679" s="2013"/>
      <c r="Q679" s="2013"/>
      <c r="R679" s="2013"/>
      <c r="T679" s="35"/>
      <c r="U679" s="12" t="s">
        <v>615</v>
      </c>
      <c r="Z679" s="1993"/>
      <c r="AA679" s="1993"/>
      <c r="AB679" s="1993"/>
      <c r="AC679" s="1993"/>
      <c r="AD679" s="1993"/>
      <c r="AE679" s="1993"/>
      <c r="AF679" s="1993"/>
      <c r="AG679" s="1993"/>
      <c r="AH679" s="1993"/>
      <c r="AI679" s="1993"/>
      <c r="AJ679" s="1993"/>
      <c r="AK679" s="1993"/>
      <c r="AZ679" s="58"/>
      <c r="BA679" s="446">
        <f t="shared" si="40"/>
        <v>2040</v>
      </c>
      <c r="BB679" s="58"/>
      <c r="BC679" s="58"/>
      <c r="BD679" s="58"/>
      <c r="BE679" s="58"/>
      <c r="BF679" s="382"/>
      <c r="BG679" s="457">
        <f t="shared" si="41"/>
        <v>8</v>
      </c>
      <c r="BH679" s="460">
        <f t="shared" si="43"/>
        <v>2.7491408934707903E-2</v>
      </c>
      <c r="BI679" s="461">
        <f t="shared" si="42"/>
        <v>8.2474226804123713E-3</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13"/>
      <c r="H680" s="2013"/>
      <c r="I680" s="2013"/>
      <c r="J680" s="2013"/>
      <c r="K680" s="2013"/>
      <c r="L680" s="2013"/>
      <c r="M680" s="2013"/>
      <c r="N680" s="2013"/>
      <c r="O680" s="2013"/>
      <c r="P680" s="2013"/>
      <c r="Q680" s="2013"/>
      <c r="R680" s="2013"/>
      <c r="T680" s="35"/>
      <c r="U680" s="12" t="s">
        <v>17</v>
      </c>
      <c r="Z680" s="1993"/>
      <c r="AA680" s="1993"/>
      <c r="AB680" s="1993"/>
      <c r="AC680" s="1993"/>
      <c r="AD680" s="1993"/>
      <c r="AE680" s="1993"/>
      <c r="AF680" s="1993"/>
      <c r="AG680" s="1993"/>
      <c r="AH680" s="1993"/>
      <c r="AI680" s="1993"/>
      <c r="AJ680" s="1993"/>
      <c r="AK680" s="1993"/>
      <c r="AZ680" s="58"/>
      <c r="BA680" s="446">
        <f t="shared" si="40"/>
        <v>2040</v>
      </c>
      <c r="BB680" s="58"/>
      <c r="BC680" s="58"/>
      <c r="BD680" s="58"/>
      <c r="BE680" s="58"/>
      <c r="BF680" s="382"/>
      <c r="BG680" s="457">
        <f t="shared" si="41"/>
        <v>8</v>
      </c>
      <c r="BH680" s="460">
        <f t="shared" si="43"/>
        <v>2.7491408934707903E-2</v>
      </c>
      <c r="BI680" s="461">
        <f t="shared" si="42"/>
        <v>1.3745704467353952E-2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034"/>
      <c r="H681" s="2034"/>
      <c r="I681" s="2034"/>
      <c r="J681" s="2034"/>
      <c r="K681" s="2034"/>
      <c r="L681" s="2034"/>
      <c r="O681" s="137" t="s">
        <v>212</v>
      </c>
      <c r="P681" s="1992"/>
      <c r="Q681" s="1992"/>
      <c r="R681" s="1992"/>
      <c r="T681" s="35"/>
      <c r="U681" s="12" t="s">
        <v>325</v>
      </c>
      <c r="Z681" s="2034"/>
      <c r="AA681" s="2034"/>
      <c r="AB681" s="2034"/>
      <c r="AC681" s="2034"/>
      <c r="AD681" s="2034"/>
      <c r="AE681" s="2034"/>
      <c r="AH681" s="137" t="s">
        <v>212</v>
      </c>
      <c r="AI681" s="1992"/>
      <c r="AJ681" s="1992"/>
      <c r="AK681" s="1992"/>
      <c r="AZ681" s="58"/>
      <c r="BA681" s="446">
        <f t="shared" si="40"/>
        <v>2040</v>
      </c>
      <c r="BB681" s="58"/>
      <c r="BC681" s="58"/>
      <c r="BD681" s="58"/>
      <c r="BE681" s="58"/>
      <c r="BF681" s="382"/>
      <c r="BG681" s="457">
        <f t="shared" si="41"/>
        <v>44</v>
      </c>
      <c r="BH681" s="460">
        <f t="shared" si="43"/>
        <v>0.15120274914089346</v>
      </c>
      <c r="BI681" s="461">
        <f t="shared" si="42"/>
        <v>9.0721649484536079E-2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13"/>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6">
        <f t="shared" si="40"/>
        <v>2356</v>
      </c>
      <c r="BB682" s="58"/>
      <c r="BC682" s="58"/>
      <c r="BD682" s="58"/>
      <c r="BE682" s="58"/>
      <c r="BF682" s="382"/>
      <c r="BG682" s="457">
        <f t="shared" si="41"/>
        <v>13</v>
      </c>
      <c r="BH682" s="460">
        <f t="shared" si="43"/>
        <v>4.4673539518900345E-2</v>
      </c>
      <c r="BI682" s="461">
        <f t="shared" si="42"/>
        <v>3.573883161512028E-2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1" t="s">
        <v>706</v>
      </c>
      <c r="O683" s="1991"/>
      <c r="T683" s="35"/>
      <c r="U683" s="12" t="s">
        <v>20</v>
      </c>
      <c r="AG683" s="1991" t="s">
        <v>706</v>
      </c>
      <c r="AH683" s="1991"/>
      <c r="AZ683" s="58"/>
      <c r="BA683" s="446">
        <f t="shared" si="40"/>
        <v>2356</v>
      </c>
      <c r="BB683" s="58"/>
      <c r="BC683" s="58"/>
      <c r="BD683" s="58"/>
      <c r="BE683" s="58"/>
      <c r="BF683" s="382"/>
      <c r="BG683" s="457">
        <f t="shared" si="41"/>
        <v>7</v>
      </c>
      <c r="BH683" s="460">
        <f t="shared" si="43"/>
        <v>2.4054982817869417E-2</v>
      </c>
      <c r="BI683" s="461">
        <f t="shared" si="42"/>
        <v>7.2164948453608251E-3</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f t="shared" si="40"/>
        <v>2356</v>
      </c>
      <c r="BB684" s="58"/>
      <c r="BC684" s="58"/>
      <c r="BD684" s="58"/>
      <c r="BE684" s="58"/>
      <c r="BF684" s="382"/>
      <c r="BG684" s="457">
        <f t="shared" si="41"/>
        <v>7</v>
      </c>
      <c r="BH684" s="460">
        <f t="shared" si="43"/>
        <v>2.4054982817869417E-2</v>
      </c>
      <c r="BI684" s="461">
        <f t="shared" si="42"/>
        <v>1.2027491408934709E-2</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494</v>
      </c>
      <c r="B685" s="12" t="s">
        <v>496</v>
      </c>
      <c r="G685" s="1981">
        <f>C645</f>
        <v>0</v>
      </c>
      <c r="H685" s="1981"/>
      <c r="I685" s="1981"/>
      <c r="J685" s="1981"/>
      <c r="K685" s="1981"/>
      <c r="L685" s="1981"/>
      <c r="M685" s="1981"/>
      <c r="N685" s="1981"/>
      <c r="O685" s="1981"/>
      <c r="P685" s="1981"/>
      <c r="Q685" s="1981"/>
      <c r="R685" s="1981"/>
      <c r="T685" s="87" t="s">
        <v>681</v>
      </c>
      <c r="U685" s="12" t="s">
        <v>496</v>
      </c>
      <c r="Z685" s="1981">
        <f>C646</f>
        <v>0</v>
      </c>
      <c r="AA685" s="1981"/>
      <c r="AB685" s="1981"/>
      <c r="AC685" s="1981"/>
      <c r="AD685" s="1981"/>
      <c r="AE685" s="1981"/>
      <c r="AF685" s="1981"/>
      <c r="AG685" s="1981"/>
      <c r="AH685" s="1981"/>
      <c r="AI685" s="1981"/>
      <c r="AJ685" s="1981"/>
      <c r="AK685" s="1981"/>
      <c r="AZ685" s="58"/>
      <c r="BA685" s="446">
        <f t="shared" si="40"/>
        <v>2356</v>
      </c>
      <c r="BB685" s="58"/>
      <c r="BC685" s="58"/>
      <c r="BD685" s="58"/>
      <c r="BE685" s="58"/>
      <c r="BF685" s="382"/>
      <c r="BG685" s="457">
        <f t="shared" si="41"/>
        <v>44</v>
      </c>
      <c r="BH685" s="460">
        <f t="shared" si="43"/>
        <v>0.15120274914089346</v>
      </c>
      <c r="BI685" s="461">
        <f t="shared" si="42"/>
        <v>9.0721649484536079E-2</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6" t="str">
        <f t="shared" si="40"/>
        <v>N/A</v>
      </c>
      <c r="BB686" s="58"/>
      <c r="BC686" s="58"/>
      <c r="BD686" s="58"/>
      <c r="BE686" s="58"/>
      <c r="BF686" s="382"/>
      <c r="BG686" s="457">
        <f t="shared" si="41"/>
        <v>17</v>
      </c>
      <c r="BH686" s="460">
        <f t="shared" si="43"/>
        <v>5.8419243986254296E-2</v>
      </c>
      <c r="BI686" s="461">
        <f t="shared" si="42"/>
        <v>4.6735395189003437E-2</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615</v>
      </c>
      <c r="G687" s="2013"/>
      <c r="H687" s="2013"/>
      <c r="I687" s="2013"/>
      <c r="J687" s="2013"/>
      <c r="K687" s="2013"/>
      <c r="L687" s="2013"/>
      <c r="M687" s="2013"/>
      <c r="N687" s="2013"/>
      <c r="O687" s="2013"/>
      <c r="P687" s="2013"/>
      <c r="Q687" s="2013"/>
      <c r="R687" s="2013"/>
      <c r="T687" s="35"/>
      <c r="U687" s="12" t="s">
        <v>615</v>
      </c>
      <c r="Z687" s="1993"/>
      <c r="AA687" s="1993"/>
      <c r="AB687" s="1993"/>
      <c r="AC687" s="1993"/>
      <c r="AD687" s="1993"/>
      <c r="AE687" s="1993"/>
      <c r="AF687" s="1993"/>
      <c r="AG687" s="1993"/>
      <c r="AH687" s="1993"/>
      <c r="AI687" s="1993"/>
      <c r="AJ687" s="1993"/>
      <c r="AK687" s="199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13"/>
      <c r="H688" s="2013"/>
      <c r="I688" s="2013"/>
      <c r="J688" s="2013"/>
      <c r="K688" s="2013"/>
      <c r="L688" s="2013"/>
      <c r="M688" s="2013"/>
      <c r="N688" s="2013"/>
      <c r="O688" s="2013"/>
      <c r="P688" s="2013"/>
      <c r="Q688" s="2013"/>
      <c r="R688" s="2013"/>
      <c r="T688" s="35"/>
      <c r="U688" s="12" t="s">
        <v>17</v>
      </c>
      <c r="Z688" s="1993"/>
      <c r="AA688" s="1993"/>
      <c r="AB688" s="1993"/>
      <c r="AC688" s="1993"/>
      <c r="AD688" s="1993"/>
      <c r="AE688" s="1993"/>
      <c r="AF688" s="1993"/>
      <c r="AG688" s="1993"/>
      <c r="AH688" s="1993"/>
      <c r="AI688" s="1993"/>
      <c r="AJ688" s="1993"/>
      <c r="AK688" s="199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34"/>
      <c r="H689" s="2034"/>
      <c r="I689" s="2034"/>
      <c r="J689" s="2034"/>
      <c r="K689" s="2034"/>
      <c r="L689" s="2034"/>
      <c r="O689" s="137" t="s">
        <v>212</v>
      </c>
      <c r="P689" s="1992"/>
      <c r="Q689" s="1992"/>
      <c r="R689" s="1992"/>
      <c r="T689" s="35"/>
      <c r="U689" s="12" t="s">
        <v>325</v>
      </c>
      <c r="Z689" s="2034"/>
      <c r="AA689" s="2034"/>
      <c r="AB689" s="2034"/>
      <c r="AC689" s="2034"/>
      <c r="AD689" s="2034"/>
      <c r="AE689" s="2034"/>
      <c r="AH689" s="137" t="s">
        <v>212</v>
      </c>
      <c r="AI689" s="1992"/>
      <c r="AJ689" s="1992"/>
      <c r="AK689" s="199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1" t="s">
        <v>706</v>
      </c>
      <c r="O691" s="1991"/>
      <c r="T691" s="35"/>
      <c r="U691" s="12" t="s">
        <v>20</v>
      </c>
      <c r="AG691" s="1991" t="s">
        <v>706</v>
      </c>
      <c r="AH691" s="199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496</v>
      </c>
      <c r="G693" s="1981">
        <f>C647</f>
        <v>0</v>
      </c>
      <c r="H693" s="1981"/>
      <c r="I693" s="1981"/>
      <c r="J693" s="1981"/>
      <c r="K693" s="1981"/>
      <c r="L693" s="1981"/>
      <c r="M693" s="1981"/>
      <c r="N693" s="1981"/>
      <c r="O693" s="1981"/>
      <c r="P693" s="1981"/>
      <c r="Q693" s="1981"/>
      <c r="R693" s="1981"/>
      <c r="T693" s="87" t="s">
        <v>373</v>
      </c>
      <c r="U693" s="12" t="s">
        <v>496</v>
      </c>
      <c r="Z693" s="1981">
        <f>C648</f>
        <v>0</v>
      </c>
      <c r="AA693" s="1981"/>
      <c r="AB693" s="1981"/>
      <c r="AC693" s="1981"/>
      <c r="AD693" s="1981"/>
      <c r="AE693" s="1981"/>
      <c r="AF693" s="1981"/>
      <c r="AG693" s="1981"/>
      <c r="AH693" s="1981"/>
      <c r="AI693" s="1981"/>
      <c r="AJ693" s="1981"/>
      <c r="AK693" s="198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615</v>
      </c>
      <c r="G695" s="2013"/>
      <c r="H695" s="2013"/>
      <c r="I695" s="2013"/>
      <c r="J695" s="2013"/>
      <c r="K695" s="2013"/>
      <c r="L695" s="2013"/>
      <c r="M695" s="2013"/>
      <c r="N695" s="2013"/>
      <c r="O695" s="2013"/>
      <c r="P695" s="2013"/>
      <c r="Q695" s="2013"/>
      <c r="R695" s="2013"/>
      <c r="U695" s="12" t="s">
        <v>615</v>
      </c>
      <c r="Z695" s="1993"/>
      <c r="AA695" s="1993"/>
      <c r="AB695" s="1993"/>
      <c r="AC695" s="1993"/>
      <c r="AD695" s="1993"/>
      <c r="AE695" s="1993"/>
      <c r="AF695" s="1993"/>
      <c r="AG695" s="1993"/>
      <c r="AH695" s="1993"/>
      <c r="AI695" s="1993"/>
      <c r="AJ695" s="1993"/>
      <c r="AK695" s="1993"/>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13"/>
      <c r="H696" s="2013"/>
      <c r="I696" s="2013"/>
      <c r="J696" s="2013"/>
      <c r="K696" s="2013"/>
      <c r="L696" s="2013"/>
      <c r="M696" s="2013"/>
      <c r="N696" s="2013"/>
      <c r="O696" s="2013"/>
      <c r="P696" s="2013"/>
      <c r="Q696" s="2013"/>
      <c r="R696" s="2013"/>
      <c r="U696" s="12" t="s">
        <v>17</v>
      </c>
      <c r="Z696" s="1993"/>
      <c r="AA696" s="1993"/>
      <c r="AB696" s="1993"/>
      <c r="AC696" s="1993"/>
      <c r="AD696" s="1993"/>
      <c r="AE696" s="1993"/>
      <c r="AF696" s="1993"/>
      <c r="AG696" s="1993"/>
      <c r="AH696" s="1993"/>
      <c r="AI696" s="1993"/>
      <c r="AJ696" s="1993"/>
      <c r="AK696" s="1993"/>
      <c r="AZ696" s="58"/>
      <c r="BA696" s="58"/>
      <c r="BB696" s="58"/>
      <c r="BC696" s="58"/>
      <c r="BD696" s="58"/>
      <c r="BF696" s="453" t="s">
        <v>968</v>
      </c>
      <c r="BG696" s="462">
        <f>SUM(BG671:BG695)</f>
        <v>291</v>
      </c>
      <c r="BH696" s="463">
        <f>SUM(BH671:BH695)</f>
        <v>1</v>
      </c>
      <c r="BI696" s="463">
        <f>SUM(BI671:BI695)</f>
        <v>0.5986254295532647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34"/>
      <c r="H697" s="2034"/>
      <c r="I697" s="2034"/>
      <c r="J697" s="2034"/>
      <c r="K697" s="2034"/>
      <c r="L697" s="2034"/>
      <c r="O697" s="137" t="s">
        <v>212</v>
      </c>
      <c r="P697" s="1992"/>
      <c r="Q697" s="1992"/>
      <c r="R697" s="1992"/>
      <c r="U697" s="12" t="s">
        <v>325</v>
      </c>
      <c r="Z697" s="2034"/>
      <c r="AA697" s="2034"/>
      <c r="AB697" s="2034"/>
      <c r="AC697" s="2034"/>
      <c r="AD697" s="2034"/>
      <c r="AE697" s="2034"/>
      <c r="AH697" s="137" t="s">
        <v>212</v>
      </c>
      <c r="AI697" s="1992"/>
      <c r="AJ697" s="1992"/>
      <c r="AK697" s="199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1" t="s">
        <v>706</v>
      </c>
      <c r="O699" s="1991"/>
      <c r="U699" s="12" t="s">
        <v>20</v>
      </c>
      <c r="AG699" s="1991" t="s">
        <v>706</v>
      </c>
      <c r="AH699" s="199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578</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1.7182130584192441E-2</v>
      </c>
      <c r="BI703" s="461">
        <f t="shared" ref="BI703:BI727" si="45">IF(BH703=0," ",BH703*AM728)</f>
        <v>5.156805900425979E-3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706</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1.7182130584192441E-2</v>
      </c>
      <c r="BI704" s="461">
        <f t="shared" si="45"/>
        <v>8.5910652920962206E-3</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5">
        <v>44636</v>
      </c>
      <c r="AF705" s="2275"/>
      <c r="AG705" s="2275"/>
      <c r="AH705" s="2275"/>
      <c r="AI705" s="227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30</v>
      </c>
      <c r="BH705" s="460">
        <f t="shared" si="46"/>
        <v>0.10309278350515463</v>
      </c>
      <c r="BI705" s="461">
        <f t="shared" si="45"/>
        <v>6.1881670805111741E-2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8">
        <v>44727</v>
      </c>
      <c r="AF706" s="2278"/>
      <c r="AG706" s="2278"/>
      <c r="AH706" s="2278"/>
      <c r="AI706" s="227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10</v>
      </c>
      <c r="BH706" s="460">
        <f t="shared" si="46"/>
        <v>3.4364261168384883E-2</v>
      </c>
      <c r="BI706" s="461">
        <f t="shared" si="45"/>
        <v>2.7517409636726862E-2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10</v>
      </c>
      <c r="BH707" s="460">
        <f t="shared" si="46"/>
        <v>3.4364261168384883E-2</v>
      </c>
      <c r="BI707" s="461">
        <f t="shared" si="45"/>
        <v>1.0309278350515464E-2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5">
        <v>44896</v>
      </c>
      <c r="AF708" s="2275"/>
      <c r="AG708" s="2275"/>
      <c r="AH708" s="2275"/>
      <c r="AI708" s="227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10</v>
      </c>
      <c r="BH708" s="460">
        <f t="shared" si="46"/>
        <v>3.4364261168384883E-2</v>
      </c>
      <c r="BI708" s="461">
        <f t="shared" si="45"/>
        <v>1.7182130584192441E-2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9">
        <f xml:space="preserve"> (57000000) / (105976458+2698212)</f>
        <v>0.52450124762283612</v>
      </c>
      <c r="AF709" s="2319"/>
      <c r="AG709" s="2319"/>
      <c r="AH709" s="2319"/>
      <c r="AI709" s="23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55</v>
      </c>
      <c r="BH709" s="460">
        <f t="shared" si="46"/>
        <v>0.18900343642611683</v>
      </c>
      <c r="BI709" s="461">
        <f t="shared" si="45"/>
        <v>0.11340206185567009</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1" t="str">
        <f>H334</f>
        <v>California Municipal Finance Authority (CMFA)</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18</v>
      </c>
      <c r="BH710" s="460">
        <f t="shared" si="46"/>
        <v>6.1855670103092786E-2</v>
      </c>
      <c r="BI710" s="461">
        <f t="shared" si="45"/>
        <v>4.9484536082474231E-2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2.7491408934707903E-2</v>
      </c>
      <c r="BI711" s="461">
        <f t="shared" si="45"/>
        <v>8.2474226804123713E-3</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706</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8</v>
      </c>
      <c r="BH712" s="460">
        <f t="shared" si="46"/>
        <v>2.7491408934707903E-2</v>
      </c>
      <c r="BI712" s="461">
        <f t="shared" si="45"/>
        <v>1.3745704467353952E-2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44</v>
      </c>
      <c r="BH713" s="460">
        <f t="shared" si="46"/>
        <v>0.15120274914089346</v>
      </c>
      <c r="BI713" s="461">
        <f t="shared" si="45"/>
        <v>9.0721649484536079E-2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13</v>
      </c>
      <c r="BH714" s="460">
        <f t="shared" si="46"/>
        <v>4.4673539518900345E-2</v>
      </c>
      <c r="BI714" s="461">
        <f t="shared" si="45"/>
        <v>3.573883161512028E-2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34"/>
      <c r="K715" s="2034"/>
      <c r="L715" s="2034"/>
      <c r="M715" s="2034"/>
      <c r="N715" s="2034"/>
      <c r="O715" s="2034"/>
      <c r="P715" s="7" t="s">
        <v>212</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7</v>
      </c>
      <c r="BH715" s="460">
        <f t="shared" si="46"/>
        <v>2.4054982817869417E-2</v>
      </c>
      <c r="BI715" s="461">
        <f t="shared" si="45"/>
        <v>7.2083267697011068E-3</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467</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7</v>
      </c>
      <c r="BH716" s="460">
        <f t="shared" si="46"/>
        <v>2.4054982817869417E-2</v>
      </c>
      <c r="BI716" s="461">
        <f t="shared" si="45"/>
        <v>1.2027491408934709E-2</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44</v>
      </c>
      <c r="BH717" s="460">
        <f t="shared" si="46"/>
        <v>0.15120274914089346</v>
      </c>
      <c r="BI717" s="461">
        <f t="shared" si="45"/>
        <v>9.0683142842140255E-2</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17</v>
      </c>
      <c r="BH718" s="460">
        <f t="shared" si="46"/>
        <v>5.8419243986254296E-2</v>
      </c>
      <c r="BI718" s="461">
        <f t="shared" si="45"/>
        <v>4.6740354377796833E-2</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4" t="s">
        <v>407</v>
      </c>
      <c r="C724" s="2225"/>
      <c r="D724" s="2225"/>
      <c r="E724" s="2225"/>
      <c r="F724" s="2226"/>
      <c r="G724" s="2224" t="s">
        <v>291</v>
      </c>
      <c r="H724" s="2225"/>
      <c r="I724" s="2225"/>
      <c r="J724" s="2226"/>
      <c r="K724" s="2233" t="s">
        <v>2094</v>
      </c>
      <c r="L724" s="2234"/>
      <c r="M724" s="2234"/>
      <c r="N724" s="2235"/>
      <c r="O724" s="2224" t="s">
        <v>478</v>
      </c>
      <c r="P724" s="2225"/>
      <c r="Q724" s="2225"/>
      <c r="R724" s="2225"/>
      <c r="S724" s="2226"/>
      <c r="T724" s="2224" t="s">
        <v>292</v>
      </c>
      <c r="U724" s="2225"/>
      <c r="V724" s="2225"/>
      <c r="W724" s="2225"/>
      <c r="X724" s="2226"/>
      <c r="Y724" s="2224" t="s">
        <v>293</v>
      </c>
      <c r="Z724" s="2225"/>
      <c r="AA724" s="2225"/>
      <c r="AB724" s="2226"/>
      <c r="AC724" s="2224" t="s">
        <v>294</v>
      </c>
      <c r="AD724" s="2225"/>
      <c r="AE724" s="2225"/>
      <c r="AF724" s="2225"/>
      <c r="AG724" s="2226"/>
      <c r="AH724" s="2224" t="s">
        <v>408</v>
      </c>
      <c r="AI724" s="2225"/>
      <c r="AJ724" s="2225"/>
      <c r="AK724" s="2225"/>
      <c r="AL724" s="2226"/>
      <c r="AM724" s="2224" t="s">
        <v>682</v>
      </c>
      <c r="AN724" s="2225"/>
      <c r="AO724" s="222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227"/>
      <c r="C725" s="2228"/>
      <c r="D725" s="2228"/>
      <c r="E725" s="2228"/>
      <c r="F725" s="2229"/>
      <c r="G725" s="2227"/>
      <c r="H725" s="2228"/>
      <c r="I725" s="2228"/>
      <c r="J725" s="2229"/>
      <c r="K725" s="2236"/>
      <c r="L725" s="2237"/>
      <c r="M725" s="2237"/>
      <c r="N725" s="2238"/>
      <c r="O725" s="2227"/>
      <c r="P725" s="2228"/>
      <c r="Q725" s="2228"/>
      <c r="R725" s="2228"/>
      <c r="S725" s="2229"/>
      <c r="T725" s="2227"/>
      <c r="U725" s="2228"/>
      <c r="V725" s="2228"/>
      <c r="W725" s="2228"/>
      <c r="X725" s="2229"/>
      <c r="Y725" s="2227"/>
      <c r="Z725" s="2228"/>
      <c r="AA725" s="2228"/>
      <c r="AB725" s="2229"/>
      <c r="AC725" s="2227"/>
      <c r="AD725" s="2228"/>
      <c r="AE725" s="2228"/>
      <c r="AF725" s="2228"/>
      <c r="AG725" s="2229"/>
      <c r="AH725" s="2227"/>
      <c r="AI725" s="2228"/>
      <c r="AJ725" s="2228"/>
      <c r="AK725" s="2228"/>
      <c r="AL725" s="2229"/>
      <c r="AM725" s="2227"/>
      <c r="AN725" s="2228"/>
      <c r="AO725" s="222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227"/>
      <c r="C726" s="2228"/>
      <c r="D726" s="2228"/>
      <c r="E726" s="2228"/>
      <c r="F726" s="2229"/>
      <c r="G726" s="2227"/>
      <c r="H726" s="2228"/>
      <c r="I726" s="2228"/>
      <c r="J726" s="2229"/>
      <c r="K726" s="2236"/>
      <c r="L726" s="2237"/>
      <c r="M726" s="2237"/>
      <c r="N726" s="2238"/>
      <c r="O726" s="2227"/>
      <c r="P726" s="2228"/>
      <c r="Q726" s="2228"/>
      <c r="R726" s="2228"/>
      <c r="S726" s="2229"/>
      <c r="T726" s="2227"/>
      <c r="U726" s="2228"/>
      <c r="V726" s="2228"/>
      <c r="W726" s="2228"/>
      <c r="X726" s="2229"/>
      <c r="Y726" s="2227"/>
      <c r="Z726" s="2228"/>
      <c r="AA726" s="2228"/>
      <c r="AB726" s="2229"/>
      <c r="AC726" s="2227"/>
      <c r="AD726" s="2228"/>
      <c r="AE726" s="2228"/>
      <c r="AF726" s="2228"/>
      <c r="AG726" s="2229"/>
      <c r="AH726" s="2227"/>
      <c r="AI726" s="2228"/>
      <c r="AJ726" s="2228"/>
      <c r="AK726" s="2228"/>
      <c r="AL726" s="2229"/>
      <c r="AM726" s="2227"/>
      <c r="AN726" s="2228"/>
      <c r="AO726" s="222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230"/>
      <c r="C727" s="2231"/>
      <c r="D727" s="2231"/>
      <c r="E727" s="2231"/>
      <c r="F727" s="2232"/>
      <c r="G727" s="2230"/>
      <c r="H727" s="2231"/>
      <c r="I727" s="2231"/>
      <c r="J727" s="2232"/>
      <c r="K727" s="2236"/>
      <c r="L727" s="2237"/>
      <c r="M727" s="2237"/>
      <c r="N727" s="2238"/>
      <c r="O727" s="2230"/>
      <c r="P727" s="2231"/>
      <c r="Q727" s="2231"/>
      <c r="R727" s="2231"/>
      <c r="S727" s="2232"/>
      <c r="T727" s="2230"/>
      <c r="U727" s="2231"/>
      <c r="V727" s="2231"/>
      <c r="W727" s="2231"/>
      <c r="X727" s="2232"/>
      <c r="Y727" s="2230"/>
      <c r="Z727" s="2231"/>
      <c r="AA727" s="2231"/>
      <c r="AB727" s="2232"/>
      <c r="AC727" s="2230"/>
      <c r="AD727" s="2231"/>
      <c r="AE727" s="2231"/>
      <c r="AF727" s="2231"/>
      <c r="AG727" s="2232"/>
      <c r="AH727" s="2230"/>
      <c r="AI727" s="2231"/>
      <c r="AJ727" s="2231"/>
      <c r="AK727" s="2231"/>
      <c r="AL727" s="2232"/>
      <c r="AM727" s="2230"/>
      <c r="AN727" s="2231"/>
      <c r="AO727" s="2232"/>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142" t="s">
        <v>333</v>
      </c>
      <c r="C728" s="2143"/>
      <c r="D728" s="2143"/>
      <c r="E728" s="2143"/>
      <c r="F728" s="2144"/>
      <c r="G728" s="2272">
        <v>5</v>
      </c>
      <c r="H728" s="2273"/>
      <c r="I728" s="2273"/>
      <c r="J728" s="2274"/>
      <c r="K728" s="2206">
        <v>524</v>
      </c>
      <c r="L728" s="2207"/>
      <c r="M728" s="2207"/>
      <c r="N728" s="2208"/>
      <c r="O728" s="2180">
        <v>396</v>
      </c>
      <c r="P728" s="2181"/>
      <c r="Q728" s="2181"/>
      <c r="R728" s="2181"/>
      <c r="S728" s="2182"/>
      <c r="T728" s="1985">
        <f t="shared" ref="T728:T752" si="47">G728*O728</f>
        <v>1980</v>
      </c>
      <c r="U728" s="1986"/>
      <c r="V728" s="1986"/>
      <c r="W728" s="1986"/>
      <c r="X728" s="1987"/>
      <c r="Y728" s="2180">
        <v>80</v>
      </c>
      <c r="Z728" s="2181"/>
      <c r="AA728" s="2181"/>
      <c r="AB728" s="2182"/>
      <c r="AC728" s="1985">
        <f t="shared" ref="AC728:AC752" si="48">O728+Y728</f>
        <v>476</v>
      </c>
      <c r="AD728" s="1986"/>
      <c r="AE728" s="1986"/>
      <c r="AF728" s="1986"/>
      <c r="AG728" s="1987"/>
      <c r="AH728" s="1988">
        <v>0.3</v>
      </c>
      <c r="AI728" s="1989"/>
      <c r="AJ728" s="1989"/>
      <c r="AK728" s="1989"/>
      <c r="AL728" s="1990"/>
      <c r="AM728" s="1967">
        <f t="shared" ref="AM728:AM752" si="49">IF($AH728&gt;0,($AC728/$BA670), " ")</f>
        <v>0.30012610340479196</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291</v>
      </c>
      <c r="BH728" s="463">
        <f>SUM(BH703:BH727)</f>
        <v>1</v>
      </c>
      <c r="BI728" s="463">
        <f>SUM(BI703:BI727)</f>
        <v>0.59863788215320879</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213" t="s">
        <v>333</v>
      </c>
      <c r="C729" s="2143"/>
      <c r="D729" s="2143"/>
      <c r="E729" s="2143"/>
      <c r="F729" s="2144"/>
      <c r="G729" s="2272">
        <v>5</v>
      </c>
      <c r="H729" s="2273"/>
      <c r="I729" s="2273"/>
      <c r="J729" s="2274"/>
      <c r="K729" s="2206">
        <v>524</v>
      </c>
      <c r="L729" s="2207"/>
      <c r="M729" s="2207"/>
      <c r="N729" s="2208"/>
      <c r="O729" s="2180">
        <v>713</v>
      </c>
      <c r="P729" s="2181"/>
      <c r="Q729" s="2181"/>
      <c r="R729" s="2181"/>
      <c r="S729" s="2182"/>
      <c r="T729" s="1985">
        <f t="shared" si="47"/>
        <v>3565</v>
      </c>
      <c r="U729" s="1986"/>
      <c r="V729" s="1986"/>
      <c r="W729" s="1986"/>
      <c r="X729" s="1987"/>
      <c r="Y729" s="2180">
        <v>80</v>
      </c>
      <c r="Z729" s="2181"/>
      <c r="AA729" s="2181"/>
      <c r="AB729" s="2182"/>
      <c r="AC729" s="1985">
        <f t="shared" si="48"/>
        <v>793</v>
      </c>
      <c r="AD729" s="1986"/>
      <c r="AE729" s="1986"/>
      <c r="AF729" s="1986"/>
      <c r="AG729" s="1987"/>
      <c r="AH729" s="1988">
        <v>0.5</v>
      </c>
      <c r="AI729" s="1989"/>
      <c r="AJ729" s="1989"/>
      <c r="AK729" s="1989"/>
      <c r="AL729" s="1990"/>
      <c r="AM729" s="1967">
        <f t="shared" si="49"/>
        <v>0.5</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213" t="s">
        <v>333</v>
      </c>
      <c r="C730" s="2143"/>
      <c r="D730" s="2143"/>
      <c r="E730" s="2143"/>
      <c r="F730" s="2144"/>
      <c r="G730" s="2272">
        <v>30</v>
      </c>
      <c r="H730" s="2273"/>
      <c r="I730" s="2273"/>
      <c r="J730" s="2274"/>
      <c r="K730" s="2206">
        <v>524</v>
      </c>
      <c r="L730" s="2207"/>
      <c r="M730" s="2207"/>
      <c r="N730" s="2208"/>
      <c r="O730" s="2180">
        <v>872</v>
      </c>
      <c r="P730" s="2181"/>
      <c r="Q730" s="2181"/>
      <c r="R730" s="2181"/>
      <c r="S730" s="2182"/>
      <c r="T730" s="1985">
        <f t="shared" si="47"/>
        <v>26160</v>
      </c>
      <c r="U730" s="1986"/>
      <c r="V730" s="1986"/>
      <c r="W730" s="1986"/>
      <c r="X730" s="1987"/>
      <c r="Y730" s="2180">
        <v>80</v>
      </c>
      <c r="Z730" s="2181"/>
      <c r="AA730" s="2181"/>
      <c r="AB730" s="2182"/>
      <c r="AC730" s="1985">
        <f t="shared" si="48"/>
        <v>952</v>
      </c>
      <c r="AD730" s="1986"/>
      <c r="AE730" s="1986"/>
      <c r="AF730" s="1986"/>
      <c r="AG730" s="1987"/>
      <c r="AH730" s="1988">
        <v>0.6</v>
      </c>
      <c r="AI730" s="1989"/>
      <c r="AJ730" s="1989"/>
      <c r="AK730" s="1989"/>
      <c r="AL730" s="1990"/>
      <c r="AM730" s="1967">
        <f t="shared" si="49"/>
        <v>0.60025220680958391</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213" t="s">
        <v>333</v>
      </c>
      <c r="C731" s="2143"/>
      <c r="D731" s="2143"/>
      <c r="E731" s="2143"/>
      <c r="F731" s="2144"/>
      <c r="G731" s="2272">
        <v>10</v>
      </c>
      <c r="H731" s="2273"/>
      <c r="I731" s="2273"/>
      <c r="J731" s="2274"/>
      <c r="K731" s="2206">
        <v>524</v>
      </c>
      <c r="L731" s="2207"/>
      <c r="M731" s="2207"/>
      <c r="N731" s="2208"/>
      <c r="O731" s="2180">
        <v>1190</v>
      </c>
      <c r="P731" s="2181"/>
      <c r="Q731" s="2181"/>
      <c r="R731" s="2181"/>
      <c r="S731" s="2182"/>
      <c r="T731" s="1985">
        <f t="shared" si="47"/>
        <v>11900</v>
      </c>
      <c r="U731" s="1986"/>
      <c r="V731" s="1986"/>
      <c r="W731" s="1986"/>
      <c r="X731" s="1987"/>
      <c r="Y731" s="2180">
        <v>80</v>
      </c>
      <c r="Z731" s="2181"/>
      <c r="AA731" s="2181"/>
      <c r="AB731" s="2182"/>
      <c r="AC731" s="1985">
        <f t="shared" si="48"/>
        <v>1270</v>
      </c>
      <c r="AD731" s="1986"/>
      <c r="AE731" s="1986"/>
      <c r="AF731" s="1986"/>
      <c r="AG731" s="1987"/>
      <c r="AH731" s="1988">
        <v>0.8</v>
      </c>
      <c r="AI731" s="1989"/>
      <c r="AJ731" s="1989"/>
      <c r="AK731" s="1989"/>
      <c r="AL731" s="1990"/>
      <c r="AM731" s="1967">
        <f t="shared" si="49"/>
        <v>0.80075662042875162</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142" t="s">
        <v>334</v>
      </c>
      <c r="C732" s="2143"/>
      <c r="D732" s="2143"/>
      <c r="E732" s="2143"/>
      <c r="F732" s="2144"/>
      <c r="G732" s="2272">
        <v>10</v>
      </c>
      <c r="H732" s="2273"/>
      <c r="I732" s="2273"/>
      <c r="J732" s="2274"/>
      <c r="K732" s="2206">
        <v>666</v>
      </c>
      <c r="L732" s="2207"/>
      <c r="M732" s="2207"/>
      <c r="N732" s="2208"/>
      <c r="O732" s="2180">
        <v>419</v>
      </c>
      <c r="P732" s="2181"/>
      <c r="Q732" s="2181"/>
      <c r="R732" s="2181"/>
      <c r="S732" s="2182"/>
      <c r="T732" s="1985">
        <f t="shared" si="47"/>
        <v>4190</v>
      </c>
      <c r="U732" s="1986"/>
      <c r="V732" s="1986"/>
      <c r="W732" s="1986"/>
      <c r="X732" s="1987"/>
      <c r="Y732" s="2180">
        <v>91</v>
      </c>
      <c r="Z732" s="2181"/>
      <c r="AA732" s="2181"/>
      <c r="AB732" s="2182"/>
      <c r="AC732" s="1985">
        <f t="shared" si="48"/>
        <v>510</v>
      </c>
      <c r="AD732" s="1986"/>
      <c r="AE732" s="1986"/>
      <c r="AF732" s="1986"/>
      <c r="AG732" s="1987"/>
      <c r="AH732" s="1988">
        <v>0.3</v>
      </c>
      <c r="AI732" s="1989"/>
      <c r="AJ732" s="1989"/>
      <c r="AK732" s="1989"/>
      <c r="AL732" s="1990"/>
      <c r="AM732" s="1967">
        <f t="shared" si="49"/>
        <v>0.3</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213" t="s">
        <v>334</v>
      </c>
      <c r="C733" s="2143"/>
      <c r="D733" s="2143"/>
      <c r="E733" s="2143"/>
      <c r="F733" s="2144"/>
      <c r="G733" s="2272">
        <v>10</v>
      </c>
      <c r="H733" s="2273"/>
      <c r="I733" s="2273"/>
      <c r="J733" s="2274"/>
      <c r="K733" s="2206">
        <v>666</v>
      </c>
      <c r="L733" s="2207"/>
      <c r="M733" s="2207"/>
      <c r="N733" s="2208"/>
      <c r="O733" s="2180">
        <v>759</v>
      </c>
      <c r="P733" s="2181"/>
      <c r="Q733" s="2181"/>
      <c r="R733" s="2181"/>
      <c r="S733" s="2182"/>
      <c r="T733" s="1985">
        <f t="shared" si="47"/>
        <v>7590</v>
      </c>
      <c r="U733" s="1986"/>
      <c r="V733" s="1986"/>
      <c r="W733" s="1986"/>
      <c r="X733" s="1987"/>
      <c r="Y733" s="2180">
        <v>91</v>
      </c>
      <c r="Z733" s="2181"/>
      <c r="AA733" s="2181"/>
      <c r="AB733" s="2182"/>
      <c r="AC733" s="1985">
        <f t="shared" si="48"/>
        <v>850</v>
      </c>
      <c r="AD733" s="1986"/>
      <c r="AE733" s="1986"/>
      <c r="AF733" s="1986"/>
      <c r="AG733" s="1987"/>
      <c r="AH733" s="1988">
        <v>0.5</v>
      </c>
      <c r="AI733" s="1989"/>
      <c r="AJ733" s="1989"/>
      <c r="AK733" s="1989"/>
      <c r="AL733" s="1990"/>
      <c r="AM733" s="1967">
        <f t="shared" si="49"/>
        <v>0.5</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213" t="s">
        <v>334</v>
      </c>
      <c r="C734" s="2143"/>
      <c r="D734" s="2143"/>
      <c r="E734" s="2143"/>
      <c r="F734" s="2144"/>
      <c r="G734" s="2272">
        <v>55</v>
      </c>
      <c r="H734" s="2273"/>
      <c r="I734" s="2273"/>
      <c r="J734" s="2274"/>
      <c r="K734" s="2206">
        <v>666</v>
      </c>
      <c r="L734" s="2207"/>
      <c r="M734" s="2207"/>
      <c r="N734" s="2208"/>
      <c r="O734" s="2180">
        <v>929</v>
      </c>
      <c r="P734" s="2181"/>
      <c r="Q734" s="2181"/>
      <c r="R734" s="2181"/>
      <c r="S734" s="2182"/>
      <c r="T734" s="1985">
        <f t="shared" si="47"/>
        <v>51095</v>
      </c>
      <c r="U734" s="1986"/>
      <c r="V734" s="1986"/>
      <c r="W734" s="1986"/>
      <c r="X734" s="1987"/>
      <c r="Y734" s="2180">
        <v>91</v>
      </c>
      <c r="Z734" s="2181"/>
      <c r="AA734" s="2181"/>
      <c r="AB734" s="2182"/>
      <c r="AC734" s="1985">
        <f t="shared" si="48"/>
        <v>1020</v>
      </c>
      <c r="AD734" s="1986"/>
      <c r="AE734" s="1986"/>
      <c r="AF734" s="1986"/>
      <c r="AG734" s="1987"/>
      <c r="AH734" s="1988">
        <v>0.6</v>
      </c>
      <c r="AI734" s="1989"/>
      <c r="AJ734" s="1989"/>
      <c r="AK734" s="1989"/>
      <c r="AL734" s="1990"/>
      <c r="AM734" s="1967">
        <f t="shared" si="49"/>
        <v>0.6</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213" t="s">
        <v>334</v>
      </c>
      <c r="C735" s="2143"/>
      <c r="D735" s="2143"/>
      <c r="E735" s="2143"/>
      <c r="F735" s="2144"/>
      <c r="G735" s="2272">
        <v>18</v>
      </c>
      <c r="H735" s="2273"/>
      <c r="I735" s="2273"/>
      <c r="J735" s="2274"/>
      <c r="K735" s="2206">
        <v>666</v>
      </c>
      <c r="L735" s="2207"/>
      <c r="M735" s="2207"/>
      <c r="N735" s="2208"/>
      <c r="O735" s="2180">
        <v>1269</v>
      </c>
      <c r="P735" s="2181"/>
      <c r="Q735" s="2181"/>
      <c r="R735" s="2181"/>
      <c r="S735" s="2182"/>
      <c r="T735" s="1985">
        <f t="shared" si="47"/>
        <v>22842</v>
      </c>
      <c r="U735" s="1986"/>
      <c r="V735" s="1986"/>
      <c r="W735" s="1986"/>
      <c r="X735" s="1987"/>
      <c r="Y735" s="2180">
        <v>91</v>
      </c>
      <c r="Z735" s="2181"/>
      <c r="AA735" s="2181"/>
      <c r="AB735" s="2182"/>
      <c r="AC735" s="1985">
        <f t="shared" si="48"/>
        <v>1360</v>
      </c>
      <c r="AD735" s="1986"/>
      <c r="AE735" s="1986"/>
      <c r="AF735" s="1986"/>
      <c r="AG735" s="1987"/>
      <c r="AH735" s="1988">
        <v>0.8</v>
      </c>
      <c r="AI735" s="1989"/>
      <c r="AJ735" s="1989"/>
      <c r="AK735" s="1989"/>
      <c r="AL735" s="1990"/>
      <c r="AM735" s="1967">
        <f t="shared" si="49"/>
        <v>0.8</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142" t="s">
        <v>168</v>
      </c>
      <c r="C736" s="2143"/>
      <c r="D736" s="2143"/>
      <c r="E736" s="2143"/>
      <c r="F736" s="2144"/>
      <c r="G736" s="2272">
        <v>8</v>
      </c>
      <c r="H736" s="2273"/>
      <c r="I736" s="2273"/>
      <c r="J736" s="2274"/>
      <c r="K736" s="2206">
        <v>825</v>
      </c>
      <c r="L736" s="2207"/>
      <c r="M736" s="2207"/>
      <c r="N736" s="2208"/>
      <c r="O736" s="2180">
        <v>498</v>
      </c>
      <c r="P736" s="2181"/>
      <c r="Q736" s="2181"/>
      <c r="R736" s="2181"/>
      <c r="S736" s="2182"/>
      <c r="T736" s="1985">
        <f t="shared" si="47"/>
        <v>3984</v>
      </c>
      <c r="U736" s="1986"/>
      <c r="V736" s="1986"/>
      <c r="W736" s="1986"/>
      <c r="X736" s="1987"/>
      <c r="Y736" s="2180">
        <v>114</v>
      </c>
      <c r="Z736" s="2181"/>
      <c r="AA736" s="2181"/>
      <c r="AB736" s="2182"/>
      <c r="AC736" s="1985">
        <f t="shared" si="48"/>
        <v>612</v>
      </c>
      <c r="AD736" s="1986"/>
      <c r="AE736" s="1986"/>
      <c r="AF736" s="1986"/>
      <c r="AG736" s="1987"/>
      <c r="AH736" s="1988">
        <v>0.3</v>
      </c>
      <c r="AI736" s="1989"/>
      <c r="AJ736" s="1989"/>
      <c r="AK736" s="1989"/>
      <c r="AL736" s="1990"/>
      <c r="AM736" s="1967">
        <f t="shared" si="49"/>
        <v>0.3</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213" t="s">
        <v>168</v>
      </c>
      <c r="C737" s="2143"/>
      <c r="D737" s="2143"/>
      <c r="E737" s="2143"/>
      <c r="F737" s="2144"/>
      <c r="G737" s="2272">
        <v>8</v>
      </c>
      <c r="H737" s="2273"/>
      <c r="I737" s="2273"/>
      <c r="J737" s="2274"/>
      <c r="K737" s="2206">
        <v>825</v>
      </c>
      <c r="L737" s="2207"/>
      <c r="M737" s="2207"/>
      <c r="N737" s="2208"/>
      <c r="O737" s="2180">
        <v>906</v>
      </c>
      <c r="P737" s="2181"/>
      <c r="Q737" s="2181"/>
      <c r="R737" s="2181"/>
      <c r="S737" s="2182"/>
      <c r="T737" s="1985">
        <f t="shared" si="47"/>
        <v>7248</v>
      </c>
      <c r="U737" s="1986"/>
      <c r="V737" s="1986"/>
      <c r="W737" s="1986"/>
      <c r="X737" s="1987"/>
      <c r="Y737" s="2180">
        <v>114</v>
      </c>
      <c r="Z737" s="2181"/>
      <c r="AA737" s="2181"/>
      <c r="AB737" s="2182"/>
      <c r="AC737" s="1985">
        <f t="shared" si="48"/>
        <v>1020</v>
      </c>
      <c r="AD737" s="1986"/>
      <c r="AE737" s="1986"/>
      <c r="AF737" s="1986"/>
      <c r="AG737" s="1987"/>
      <c r="AH737" s="1988">
        <v>0.5</v>
      </c>
      <c r="AI737" s="1989"/>
      <c r="AJ737" s="1989"/>
      <c r="AK737" s="1989"/>
      <c r="AL737" s="1990"/>
      <c r="AM737" s="1967">
        <f t="shared" si="49"/>
        <v>0.5</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213" t="s">
        <v>168</v>
      </c>
      <c r="C738" s="2143"/>
      <c r="D738" s="2143"/>
      <c r="E738" s="2143"/>
      <c r="F738" s="2144"/>
      <c r="G738" s="2272">
        <v>44</v>
      </c>
      <c r="H738" s="2273"/>
      <c r="I738" s="2273"/>
      <c r="J738" s="2274"/>
      <c r="K738" s="2206">
        <v>825</v>
      </c>
      <c r="L738" s="2207"/>
      <c r="M738" s="2207"/>
      <c r="N738" s="2208"/>
      <c r="O738" s="2180">
        <v>1110</v>
      </c>
      <c r="P738" s="2181"/>
      <c r="Q738" s="2181"/>
      <c r="R738" s="2181"/>
      <c r="S738" s="2182"/>
      <c r="T738" s="1985">
        <f t="shared" si="47"/>
        <v>48840</v>
      </c>
      <c r="U738" s="1986"/>
      <c r="V738" s="1986"/>
      <c r="W738" s="1986"/>
      <c r="X738" s="1987"/>
      <c r="Y738" s="2180">
        <v>114</v>
      </c>
      <c r="Z738" s="2181"/>
      <c r="AA738" s="2181"/>
      <c r="AB738" s="2182"/>
      <c r="AC738" s="1985">
        <f t="shared" si="48"/>
        <v>1224</v>
      </c>
      <c r="AD738" s="1986"/>
      <c r="AE738" s="1986"/>
      <c r="AF738" s="1986"/>
      <c r="AG738" s="1987"/>
      <c r="AH738" s="1988">
        <v>0.6</v>
      </c>
      <c r="AI738" s="1989"/>
      <c r="AJ738" s="1989"/>
      <c r="AK738" s="1989"/>
      <c r="AL738" s="1990"/>
      <c r="AM738" s="1967">
        <f t="shared" si="49"/>
        <v>0.6</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213" t="s">
        <v>168</v>
      </c>
      <c r="C739" s="2143"/>
      <c r="D739" s="2143"/>
      <c r="E739" s="2143"/>
      <c r="F739" s="2144"/>
      <c r="G739" s="2272">
        <v>13</v>
      </c>
      <c r="H739" s="2273"/>
      <c r="I739" s="2273"/>
      <c r="J739" s="2274"/>
      <c r="K739" s="2206">
        <v>825</v>
      </c>
      <c r="L739" s="2207"/>
      <c r="M739" s="2207"/>
      <c r="N739" s="2208"/>
      <c r="O739" s="2180">
        <v>1518</v>
      </c>
      <c r="P739" s="2181"/>
      <c r="Q739" s="2181"/>
      <c r="R739" s="2181"/>
      <c r="S739" s="2182"/>
      <c r="T739" s="1985">
        <f t="shared" si="47"/>
        <v>19734</v>
      </c>
      <c r="U739" s="1986"/>
      <c r="V739" s="1986"/>
      <c r="W739" s="1986"/>
      <c r="X739" s="1987"/>
      <c r="Y739" s="2180">
        <v>114</v>
      </c>
      <c r="Z739" s="2181"/>
      <c r="AA739" s="2181"/>
      <c r="AB739" s="2182"/>
      <c r="AC739" s="1985">
        <f t="shared" si="48"/>
        <v>1632</v>
      </c>
      <c r="AD739" s="1986"/>
      <c r="AE739" s="1986"/>
      <c r="AF739" s="1986"/>
      <c r="AG739" s="1987"/>
      <c r="AH739" s="1988">
        <v>0.8</v>
      </c>
      <c r="AI739" s="1989"/>
      <c r="AJ739" s="1989"/>
      <c r="AK739" s="1989"/>
      <c r="AL739" s="1990"/>
      <c r="AM739" s="1967">
        <f t="shared" si="49"/>
        <v>0.8</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142" t="s">
        <v>169</v>
      </c>
      <c r="C740" s="2143"/>
      <c r="D740" s="2143"/>
      <c r="E740" s="2143"/>
      <c r="F740" s="2144"/>
      <c r="G740" s="2272">
        <v>7</v>
      </c>
      <c r="H740" s="2273"/>
      <c r="I740" s="2273"/>
      <c r="J740" s="2274"/>
      <c r="K740" s="2206">
        <v>1016</v>
      </c>
      <c r="L740" s="2207"/>
      <c r="M740" s="2207"/>
      <c r="N740" s="2208"/>
      <c r="O740" s="2180">
        <v>567</v>
      </c>
      <c r="P740" s="2181"/>
      <c r="Q740" s="2181"/>
      <c r="R740" s="2181"/>
      <c r="S740" s="2182"/>
      <c r="T740" s="1985">
        <f t="shared" si="47"/>
        <v>3969</v>
      </c>
      <c r="U740" s="1986"/>
      <c r="V740" s="1986"/>
      <c r="W740" s="1986"/>
      <c r="X740" s="1987"/>
      <c r="Y740" s="2180">
        <v>139</v>
      </c>
      <c r="Z740" s="2181"/>
      <c r="AA740" s="2181"/>
      <c r="AB740" s="2182"/>
      <c r="AC740" s="1985">
        <f t="shared" si="48"/>
        <v>706</v>
      </c>
      <c r="AD740" s="1986"/>
      <c r="AE740" s="1986"/>
      <c r="AF740" s="1986"/>
      <c r="AG740" s="1987"/>
      <c r="AH740" s="1988">
        <v>0.3</v>
      </c>
      <c r="AI740" s="1989"/>
      <c r="AJ740" s="1989"/>
      <c r="AK740" s="1989"/>
      <c r="AL740" s="1990"/>
      <c r="AM740" s="1967">
        <f t="shared" si="49"/>
        <v>0.29966044142614601</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213" t="s">
        <v>169</v>
      </c>
      <c r="C741" s="2143"/>
      <c r="D741" s="2143"/>
      <c r="E741" s="2143"/>
      <c r="F741" s="2144"/>
      <c r="G741" s="2272">
        <v>7</v>
      </c>
      <c r="H741" s="2273"/>
      <c r="I741" s="2273"/>
      <c r="J741" s="2274"/>
      <c r="K741" s="2206">
        <v>1016</v>
      </c>
      <c r="L741" s="2207"/>
      <c r="M741" s="2207"/>
      <c r="N741" s="2208"/>
      <c r="O741" s="2180">
        <v>1039</v>
      </c>
      <c r="P741" s="2181"/>
      <c r="Q741" s="2181"/>
      <c r="R741" s="2181"/>
      <c r="S741" s="2182"/>
      <c r="T741" s="1985">
        <f t="shared" si="47"/>
        <v>7273</v>
      </c>
      <c r="U741" s="1986"/>
      <c r="V741" s="1986"/>
      <c r="W741" s="1986"/>
      <c r="X741" s="1987"/>
      <c r="Y741" s="2180">
        <v>139</v>
      </c>
      <c r="Z741" s="2181"/>
      <c r="AA741" s="2181"/>
      <c r="AB741" s="2182"/>
      <c r="AC741" s="1985">
        <f t="shared" si="48"/>
        <v>1178</v>
      </c>
      <c r="AD741" s="1986"/>
      <c r="AE741" s="1986"/>
      <c r="AF741" s="1986"/>
      <c r="AG741" s="1987"/>
      <c r="AH741" s="1988">
        <v>0.5</v>
      </c>
      <c r="AI741" s="1989"/>
      <c r="AJ741" s="1989"/>
      <c r="AK741" s="1989"/>
      <c r="AL741" s="1990"/>
      <c r="AM741" s="1967">
        <f t="shared" si="49"/>
        <v>0.5</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213" t="s">
        <v>169</v>
      </c>
      <c r="C742" s="2143"/>
      <c r="D742" s="2143"/>
      <c r="E742" s="2143"/>
      <c r="F742" s="2144"/>
      <c r="G742" s="2272">
        <v>44</v>
      </c>
      <c r="H742" s="2273"/>
      <c r="I742" s="2273"/>
      <c r="J742" s="2274"/>
      <c r="K742" s="2206">
        <v>1016</v>
      </c>
      <c r="L742" s="2207"/>
      <c r="M742" s="2207"/>
      <c r="N742" s="2208"/>
      <c r="O742" s="2180">
        <v>1274</v>
      </c>
      <c r="P742" s="2181"/>
      <c r="Q742" s="2181"/>
      <c r="R742" s="2181"/>
      <c r="S742" s="2182"/>
      <c r="T742" s="1985">
        <f t="shared" si="47"/>
        <v>56056</v>
      </c>
      <c r="U742" s="1986"/>
      <c r="V742" s="1986"/>
      <c r="W742" s="1986"/>
      <c r="X742" s="1987"/>
      <c r="Y742" s="2180">
        <v>139</v>
      </c>
      <c r="Z742" s="2181"/>
      <c r="AA742" s="2181"/>
      <c r="AB742" s="2182"/>
      <c r="AC742" s="1985">
        <f t="shared" si="48"/>
        <v>1413</v>
      </c>
      <c r="AD742" s="1986"/>
      <c r="AE742" s="1986"/>
      <c r="AF742" s="1986"/>
      <c r="AG742" s="1987"/>
      <c r="AH742" s="1988">
        <v>0.6</v>
      </c>
      <c r="AI742" s="1989"/>
      <c r="AJ742" s="1989"/>
      <c r="AK742" s="1989"/>
      <c r="AL742" s="1990"/>
      <c r="AM742" s="1967">
        <f t="shared" si="49"/>
        <v>0.59974533106960948</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213" t="s">
        <v>169</v>
      </c>
      <c r="C743" s="2143"/>
      <c r="D743" s="2143"/>
      <c r="E743" s="2143"/>
      <c r="F743" s="2144"/>
      <c r="G743" s="2272">
        <v>17</v>
      </c>
      <c r="H743" s="2273"/>
      <c r="I743" s="2273"/>
      <c r="J743" s="2274"/>
      <c r="K743" s="2206">
        <v>1016</v>
      </c>
      <c r="L743" s="2207"/>
      <c r="M743" s="2207"/>
      <c r="N743" s="2208"/>
      <c r="O743" s="2180">
        <v>1746</v>
      </c>
      <c r="P743" s="2181"/>
      <c r="Q743" s="2181"/>
      <c r="R743" s="2181"/>
      <c r="S743" s="2182"/>
      <c r="T743" s="1985">
        <f t="shared" si="47"/>
        <v>29682</v>
      </c>
      <c r="U743" s="1986"/>
      <c r="V743" s="1986"/>
      <c r="W743" s="1986"/>
      <c r="X743" s="1987"/>
      <c r="Y743" s="2180">
        <v>139</v>
      </c>
      <c r="Z743" s="2181"/>
      <c r="AA743" s="2181"/>
      <c r="AB743" s="2182"/>
      <c r="AC743" s="1985">
        <f t="shared" si="48"/>
        <v>1885</v>
      </c>
      <c r="AD743" s="1986"/>
      <c r="AE743" s="1986"/>
      <c r="AF743" s="1986"/>
      <c r="AG743" s="1987"/>
      <c r="AH743" s="1988">
        <v>0.8</v>
      </c>
      <c r="AI743" s="1989"/>
      <c r="AJ743" s="1989"/>
      <c r="AK743" s="1989"/>
      <c r="AL743" s="1990"/>
      <c r="AM743" s="1967">
        <f t="shared" si="49"/>
        <v>0.80008488964346347</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142"/>
      <c r="C744" s="2143"/>
      <c r="D744" s="2143"/>
      <c r="E744" s="2143"/>
      <c r="F744" s="2144"/>
      <c r="G744" s="2272"/>
      <c r="H744" s="2273"/>
      <c r="I744" s="2273"/>
      <c r="J744" s="2274"/>
      <c r="K744" s="2206"/>
      <c r="L744" s="2207"/>
      <c r="M744" s="2207"/>
      <c r="N744" s="2208"/>
      <c r="O744" s="2180"/>
      <c r="P744" s="2181"/>
      <c r="Q744" s="2181"/>
      <c r="R744" s="2181"/>
      <c r="S744" s="2182"/>
      <c r="T744" s="1985">
        <f t="shared" si="47"/>
        <v>0</v>
      </c>
      <c r="U744" s="1986"/>
      <c r="V744" s="1986"/>
      <c r="W744" s="1986"/>
      <c r="X744" s="1987"/>
      <c r="Y744" s="2180"/>
      <c r="Z744" s="2181"/>
      <c r="AA744" s="2181"/>
      <c r="AB744" s="2182"/>
      <c r="AC744" s="1985">
        <f t="shared" si="48"/>
        <v>0</v>
      </c>
      <c r="AD744" s="1986"/>
      <c r="AE744" s="1986"/>
      <c r="AF744" s="1986"/>
      <c r="AG744" s="1987"/>
      <c r="AH744" s="1988">
        <v>0</v>
      </c>
      <c r="AI744" s="1989"/>
      <c r="AJ744" s="1989"/>
      <c r="AK744" s="1989"/>
      <c r="AL744" s="1990"/>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142"/>
      <c r="C745" s="2143"/>
      <c r="D745" s="2143"/>
      <c r="E745" s="2143"/>
      <c r="F745" s="2144"/>
      <c r="G745" s="2272"/>
      <c r="H745" s="2273"/>
      <c r="I745" s="2273"/>
      <c r="J745" s="2274"/>
      <c r="K745" s="2206"/>
      <c r="L745" s="2207"/>
      <c r="M745" s="2207"/>
      <c r="N745" s="2208"/>
      <c r="O745" s="2180"/>
      <c r="P745" s="2181"/>
      <c r="Q745" s="2181"/>
      <c r="R745" s="2181"/>
      <c r="S745" s="2182"/>
      <c r="T745" s="1985">
        <f t="shared" si="47"/>
        <v>0</v>
      </c>
      <c r="U745" s="1986"/>
      <c r="V745" s="1986"/>
      <c r="W745" s="1986"/>
      <c r="X745" s="1987"/>
      <c r="Y745" s="2180"/>
      <c r="Z745" s="2181"/>
      <c r="AA745" s="2181"/>
      <c r="AB745" s="2182"/>
      <c r="AC745" s="1985">
        <f t="shared" si="48"/>
        <v>0</v>
      </c>
      <c r="AD745" s="1986"/>
      <c r="AE745" s="1986"/>
      <c r="AF745" s="1986"/>
      <c r="AG745" s="1987"/>
      <c r="AH745" s="1988">
        <v>0</v>
      </c>
      <c r="AI745" s="1989"/>
      <c r="AJ745" s="1989"/>
      <c r="AK745" s="1989"/>
      <c r="AL745" s="1990"/>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142"/>
      <c r="C746" s="2143"/>
      <c r="D746" s="2143"/>
      <c r="E746" s="2143"/>
      <c r="F746" s="2144"/>
      <c r="G746" s="2272"/>
      <c r="H746" s="2273"/>
      <c r="I746" s="2273"/>
      <c r="J746" s="2274"/>
      <c r="K746" s="2206"/>
      <c r="L746" s="2207"/>
      <c r="M746" s="2207"/>
      <c r="N746" s="2208"/>
      <c r="O746" s="2180"/>
      <c r="P746" s="2181"/>
      <c r="Q746" s="2181"/>
      <c r="R746" s="2181"/>
      <c r="S746" s="2182"/>
      <c r="T746" s="1985">
        <f t="shared" si="47"/>
        <v>0</v>
      </c>
      <c r="U746" s="1986"/>
      <c r="V746" s="1986"/>
      <c r="W746" s="1986"/>
      <c r="X746" s="1987"/>
      <c r="Y746" s="2180"/>
      <c r="Z746" s="2181"/>
      <c r="AA746" s="2181"/>
      <c r="AB746" s="2182"/>
      <c r="AC746" s="1985">
        <f t="shared" si="48"/>
        <v>0</v>
      </c>
      <c r="AD746" s="1986"/>
      <c r="AE746" s="1986"/>
      <c r="AF746" s="1986"/>
      <c r="AG746" s="1987"/>
      <c r="AH746" s="1988">
        <v>0</v>
      </c>
      <c r="AI746" s="1989"/>
      <c r="AJ746" s="1989"/>
      <c r="AK746" s="1989"/>
      <c r="AL746" s="1990"/>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142"/>
      <c r="C747" s="2143"/>
      <c r="D747" s="2143"/>
      <c r="E747" s="2143"/>
      <c r="F747" s="2144"/>
      <c r="G747" s="2272"/>
      <c r="H747" s="2273"/>
      <c r="I747" s="2273"/>
      <c r="J747" s="2274"/>
      <c r="K747" s="2206"/>
      <c r="L747" s="2207"/>
      <c r="M747" s="2207"/>
      <c r="N747" s="2208"/>
      <c r="O747" s="2180"/>
      <c r="P747" s="2181"/>
      <c r="Q747" s="2181"/>
      <c r="R747" s="2181"/>
      <c r="S747" s="2182"/>
      <c r="T747" s="1985">
        <f t="shared" si="47"/>
        <v>0</v>
      </c>
      <c r="U747" s="1986"/>
      <c r="V747" s="1986"/>
      <c r="W747" s="1986"/>
      <c r="X747" s="1987"/>
      <c r="Y747" s="2180"/>
      <c r="Z747" s="2181"/>
      <c r="AA747" s="2181"/>
      <c r="AB747" s="2182"/>
      <c r="AC747" s="1985">
        <f t="shared" si="48"/>
        <v>0</v>
      </c>
      <c r="AD747" s="1986"/>
      <c r="AE747" s="1986"/>
      <c r="AF747" s="1986"/>
      <c r="AG747" s="1987"/>
      <c r="AH747" s="1988">
        <v>0</v>
      </c>
      <c r="AI747" s="1989"/>
      <c r="AJ747" s="1989"/>
      <c r="AK747" s="1989"/>
      <c r="AL747" s="1990"/>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142"/>
      <c r="C748" s="2143"/>
      <c r="D748" s="2143"/>
      <c r="E748" s="2143"/>
      <c r="F748" s="2144"/>
      <c r="G748" s="2272"/>
      <c r="H748" s="2273"/>
      <c r="I748" s="2273"/>
      <c r="J748" s="2274"/>
      <c r="K748" s="2206"/>
      <c r="L748" s="2207"/>
      <c r="M748" s="2207"/>
      <c r="N748" s="2208"/>
      <c r="O748" s="2180"/>
      <c r="P748" s="2181"/>
      <c r="Q748" s="2181"/>
      <c r="R748" s="2181"/>
      <c r="S748" s="2182"/>
      <c r="T748" s="1985">
        <f t="shared" si="47"/>
        <v>0</v>
      </c>
      <c r="U748" s="1986"/>
      <c r="V748" s="1986"/>
      <c r="W748" s="1986"/>
      <c r="X748" s="1987"/>
      <c r="Y748" s="2180"/>
      <c r="Z748" s="2181"/>
      <c r="AA748" s="2181"/>
      <c r="AB748" s="2182"/>
      <c r="AC748" s="1985">
        <f t="shared" si="48"/>
        <v>0</v>
      </c>
      <c r="AD748" s="1986"/>
      <c r="AE748" s="1986"/>
      <c r="AF748" s="1986"/>
      <c r="AG748" s="1987"/>
      <c r="AH748" s="1988">
        <v>0</v>
      </c>
      <c r="AI748" s="1989"/>
      <c r="AJ748" s="1989"/>
      <c r="AK748" s="1989"/>
      <c r="AL748" s="1990"/>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142"/>
      <c r="C749" s="2143"/>
      <c r="D749" s="2143"/>
      <c r="E749" s="2143"/>
      <c r="F749" s="2144"/>
      <c r="G749" s="2272"/>
      <c r="H749" s="2273"/>
      <c r="I749" s="2273"/>
      <c r="J749" s="2274"/>
      <c r="K749" s="2206"/>
      <c r="L749" s="2207"/>
      <c r="M749" s="2207"/>
      <c r="N749" s="2208"/>
      <c r="O749" s="2180"/>
      <c r="P749" s="2181"/>
      <c r="Q749" s="2181"/>
      <c r="R749" s="2181"/>
      <c r="S749" s="2182"/>
      <c r="T749" s="1985">
        <f t="shared" si="47"/>
        <v>0</v>
      </c>
      <c r="U749" s="1986"/>
      <c r="V749" s="1986"/>
      <c r="W749" s="1986"/>
      <c r="X749" s="1987"/>
      <c r="Y749" s="2180"/>
      <c r="Z749" s="2181"/>
      <c r="AA749" s="2181"/>
      <c r="AB749" s="2182"/>
      <c r="AC749" s="1985">
        <f t="shared" si="48"/>
        <v>0</v>
      </c>
      <c r="AD749" s="1986"/>
      <c r="AE749" s="1986"/>
      <c r="AF749" s="1986"/>
      <c r="AG749" s="1987"/>
      <c r="AH749" s="1988">
        <v>0</v>
      </c>
      <c r="AI749" s="1989"/>
      <c r="AJ749" s="1989"/>
      <c r="AK749" s="1989"/>
      <c r="AL749" s="1990"/>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2"/>
      <c r="C750" s="2143"/>
      <c r="D750" s="2143"/>
      <c r="E750" s="2143"/>
      <c r="F750" s="2144"/>
      <c r="G750" s="2272"/>
      <c r="H750" s="2273"/>
      <c r="I750" s="2273"/>
      <c r="J750" s="2274"/>
      <c r="K750" s="2206"/>
      <c r="L750" s="2207"/>
      <c r="M750" s="2207"/>
      <c r="N750" s="2208"/>
      <c r="O750" s="2180"/>
      <c r="P750" s="2181"/>
      <c r="Q750" s="2181"/>
      <c r="R750" s="2181"/>
      <c r="S750" s="2182"/>
      <c r="T750" s="1985">
        <f t="shared" si="47"/>
        <v>0</v>
      </c>
      <c r="U750" s="1986"/>
      <c r="V750" s="1986"/>
      <c r="W750" s="1986"/>
      <c r="X750" s="1987"/>
      <c r="Y750" s="2180"/>
      <c r="Z750" s="2181"/>
      <c r="AA750" s="2181"/>
      <c r="AB750" s="2182"/>
      <c r="AC750" s="1985">
        <f t="shared" si="48"/>
        <v>0</v>
      </c>
      <c r="AD750" s="1986"/>
      <c r="AE750" s="1986"/>
      <c r="AF750" s="1986"/>
      <c r="AG750" s="1987"/>
      <c r="AH750" s="1988">
        <v>0</v>
      </c>
      <c r="AI750" s="1989"/>
      <c r="AJ750" s="1989"/>
      <c r="AK750" s="1989"/>
      <c r="AL750" s="1990"/>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2"/>
      <c r="C751" s="2143"/>
      <c r="D751" s="2143"/>
      <c r="E751" s="2143"/>
      <c r="F751" s="2144"/>
      <c r="G751" s="2272"/>
      <c r="H751" s="2273"/>
      <c r="I751" s="2273"/>
      <c r="J751" s="2274"/>
      <c r="K751" s="2206"/>
      <c r="L751" s="2207"/>
      <c r="M751" s="2207"/>
      <c r="N751" s="2208"/>
      <c r="O751" s="2180"/>
      <c r="P751" s="2181"/>
      <c r="Q751" s="2181"/>
      <c r="R751" s="2181"/>
      <c r="S751" s="2182"/>
      <c r="T751" s="1985">
        <f t="shared" si="47"/>
        <v>0</v>
      </c>
      <c r="U751" s="1986"/>
      <c r="V751" s="1986"/>
      <c r="W751" s="1986"/>
      <c r="X751" s="1987"/>
      <c r="Y751" s="2180"/>
      <c r="Z751" s="2181"/>
      <c r="AA751" s="2181"/>
      <c r="AB751" s="2182"/>
      <c r="AC751" s="1985">
        <f t="shared" si="48"/>
        <v>0</v>
      </c>
      <c r="AD751" s="1986"/>
      <c r="AE751" s="1986"/>
      <c r="AF751" s="1986"/>
      <c r="AG751" s="1987"/>
      <c r="AH751" s="1988">
        <v>0</v>
      </c>
      <c r="AI751" s="1989"/>
      <c r="AJ751" s="1989"/>
      <c r="AK751" s="1989"/>
      <c r="AL751" s="1990"/>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142"/>
      <c r="C752" s="2143"/>
      <c r="D752" s="2143"/>
      <c r="E752" s="2143"/>
      <c r="F752" s="2144"/>
      <c r="G752" s="2272"/>
      <c r="H752" s="2273"/>
      <c r="I752" s="2273"/>
      <c r="J752" s="2274"/>
      <c r="K752" s="2206"/>
      <c r="L752" s="2207"/>
      <c r="M752" s="2207"/>
      <c r="N752" s="2208"/>
      <c r="O752" s="2180"/>
      <c r="P752" s="2181"/>
      <c r="Q752" s="2181"/>
      <c r="R752" s="2181"/>
      <c r="S752" s="2182"/>
      <c r="T752" s="1985">
        <f t="shared" si="47"/>
        <v>0</v>
      </c>
      <c r="U752" s="1986"/>
      <c r="V752" s="1986"/>
      <c r="W752" s="1986"/>
      <c r="X752" s="1987"/>
      <c r="Y752" s="2180"/>
      <c r="Z752" s="2181"/>
      <c r="AA752" s="2181"/>
      <c r="AB752" s="2182"/>
      <c r="AC752" s="1985">
        <f t="shared" si="48"/>
        <v>0</v>
      </c>
      <c r="AD752" s="1986"/>
      <c r="AE752" s="1986"/>
      <c r="AF752" s="1986"/>
      <c r="AG752" s="1987"/>
      <c r="AH752" s="1988">
        <v>0</v>
      </c>
      <c r="AI752" s="1989"/>
      <c r="AJ752" s="1989"/>
      <c r="AK752" s="1989"/>
      <c r="AL752" s="1990"/>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284" t="s">
        <v>130</v>
      </c>
      <c r="C753" s="2285"/>
      <c r="D753" s="2285"/>
      <c r="E753" s="2285"/>
      <c r="F753" s="2286"/>
      <c r="G753" s="2375">
        <f>SUM(G728:J752)</f>
        <v>291</v>
      </c>
      <c r="H753" s="2376"/>
      <c r="I753" s="2376"/>
      <c r="J753" s="2377"/>
      <c r="O753" s="1489" t="s">
        <v>129</v>
      </c>
      <c r="P753" s="1490"/>
      <c r="Q753" s="1490"/>
      <c r="R753" s="1490"/>
      <c r="S753" s="1491"/>
      <c r="T753" s="1985">
        <f>SUM(T728:X752)</f>
        <v>306108</v>
      </c>
      <c r="U753" s="1986"/>
      <c r="V753" s="1986"/>
      <c r="W753" s="1986"/>
      <c r="X753" s="1987"/>
      <c r="AC753" s="1493" t="s">
        <v>969</v>
      </c>
      <c r="AD753" s="1492"/>
      <c r="AE753" s="1492"/>
      <c r="AF753" s="1492"/>
      <c r="AG753" s="1494"/>
      <c r="AH753" s="2150">
        <f>BI696</f>
        <v>0.5986254295532647</v>
      </c>
      <c r="AI753" s="2151"/>
      <c r="AJ753" s="2151"/>
      <c r="AK753" s="2151"/>
      <c r="AL753" s="2152"/>
      <c r="AM753" s="2150">
        <f>BI728</f>
        <v>0.59863788215320879</v>
      </c>
      <c r="AN753" s="2151"/>
      <c r="AO753" s="2152"/>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374" t="s">
        <v>2451</v>
      </c>
      <c r="C754" s="2374"/>
      <c r="D754" s="2374"/>
      <c r="E754" s="2374"/>
      <c r="F754" s="2374"/>
      <c r="G754" s="2374"/>
      <c r="H754" s="2374"/>
      <c r="I754" s="2374"/>
      <c r="J754" s="2374"/>
      <c r="K754" s="2374"/>
      <c r="L754" s="2374"/>
      <c r="M754" s="2374"/>
      <c r="N754" s="2374"/>
      <c r="O754" s="2374"/>
      <c r="P754" s="2374"/>
      <c r="Q754" s="2374"/>
      <c r="R754" s="2374"/>
      <c r="S754" s="2374"/>
      <c r="T754" s="2374"/>
      <c r="U754" s="2374"/>
      <c r="V754" s="2374"/>
      <c r="W754" s="2374"/>
      <c r="X754" s="2374"/>
      <c r="Y754" s="2374"/>
      <c r="Z754" s="2374"/>
      <c r="AA754" s="2374"/>
      <c r="AB754" s="2374"/>
      <c r="AC754" s="2374"/>
      <c r="AD754" s="2374"/>
      <c r="AE754" s="2374"/>
      <c r="AF754" s="2374"/>
      <c r="AG754" s="2374"/>
      <c r="AH754" s="237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374"/>
      <c r="C755" s="2374"/>
      <c r="D755" s="2374"/>
      <c r="E755" s="2374"/>
      <c r="F755" s="2374"/>
      <c r="G755" s="2374"/>
      <c r="H755" s="2374"/>
      <c r="I755" s="2374"/>
      <c r="J755" s="2374"/>
      <c r="K755" s="2374"/>
      <c r="L755" s="2374"/>
      <c r="M755" s="2374"/>
      <c r="N755" s="2374"/>
      <c r="O755" s="2374"/>
      <c r="P755" s="2374"/>
      <c r="Q755" s="2374"/>
      <c r="R755" s="2374"/>
      <c r="S755" s="2374"/>
      <c r="T755" s="2374"/>
      <c r="U755" s="2374"/>
      <c r="V755" s="2374"/>
      <c r="W755" s="2374"/>
      <c r="X755" s="2374"/>
      <c r="Y755" s="2374"/>
      <c r="Z755" s="2374"/>
      <c r="AA755" s="2374"/>
      <c r="AB755" s="2374"/>
      <c r="AC755" s="2374"/>
      <c r="AD755" s="2374"/>
      <c r="AE755" s="2374"/>
      <c r="AF755" s="2374"/>
      <c r="AG755" s="2374"/>
      <c r="AH755" s="2374"/>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2449</v>
      </c>
      <c r="D756" s="1754"/>
      <c r="E756" s="1754"/>
      <c r="F756" s="1754"/>
      <c r="G756" s="1755"/>
      <c r="H756" s="1755"/>
      <c r="I756" s="1755"/>
      <c r="J756" s="1755"/>
      <c r="K756" s="1754"/>
      <c r="L756" s="1754"/>
      <c r="M756" s="1754"/>
      <c r="N756" s="1754"/>
      <c r="O756" s="2003">
        <f>CS637</f>
        <v>514</v>
      </c>
      <c r="P756" s="2003"/>
      <c r="Q756" s="2003"/>
      <c r="R756" s="2003"/>
      <c r="S756" s="1756"/>
      <c r="T756" s="1756"/>
      <c r="U756" s="179" t="s">
        <v>2450</v>
      </c>
      <c r="V756" s="1754"/>
      <c r="W756" s="1754"/>
      <c r="X756" s="1754"/>
      <c r="Y756" s="1755"/>
      <c r="Z756" s="1755"/>
      <c r="AA756" s="1755"/>
      <c r="AB756" s="1755"/>
      <c r="AC756" s="1754"/>
      <c r="AD756" s="1754"/>
      <c r="AE756" s="1754"/>
      <c r="AF756" s="1754"/>
      <c r="AG756" s="2366"/>
      <c r="AH756" s="2366"/>
      <c r="AI756" s="2366"/>
      <c r="AJ756" s="236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4" t="s">
        <v>626</v>
      </c>
      <c r="AE758" s="2214"/>
      <c r="AF758" s="2214"/>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373" t="s">
        <v>2452</v>
      </c>
      <c r="D762" s="2373"/>
      <c r="E762" s="2373"/>
      <c r="F762" s="2373"/>
      <c r="G762" s="2373"/>
      <c r="H762" s="2373"/>
      <c r="I762" s="2373"/>
      <c r="J762" s="2373"/>
      <c r="K762" s="2373"/>
      <c r="L762" s="2373"/>
      <c r="M762" s="2373"/>
      <c r="N762" s="2373"/>
      <c r="O762" s="2373"/>
      <c r="P762" s="2373"/>
      <c r="Q762" s="2373"/>
      <c r="R762" s="2373"/>
      <c r="S762" s="2373"/>
      <c r="T762" s="2373"/>
      <c r="U762" s="2373"/>
      <c r="V762" s="2373"/>
      <c r="W762" s="2373"/>
      <c r="X762" s="2373"/>
      <c r="Y762" s="2373"/>
      <c r="Z762" s="2373"/>
      <c r="AA762" s="2373"/>
      <c r="AB762" s="2373"/>
      <c r="AC762" s="2373"/>
      <c r="AD762" s="2373"/>
      <c r="AE762" s="2373"/>
      <c r="AF762" s="2373"/>
      <c r="AG762" s="2373"/>
      <c r="AH762" s="2373"/>
      <c r="AI762" s="2373"/>
      <c r="AJ762" s="2373"/>
      <c r="AK762" s="2373"/>
      <c r="AL762" s="2373"/>
      <c r="AM762" s="2373"/>
      <c r="AN762" s="2373"/>
      <c r="AO762" s="2373"/>
      <c r="AP762" s="2373"/>
      <c r="AQ762" s="2373"/>
      <c r="AR762" s="2373"/>
      <c r="AS762" s="239"/>
      <c r="AT762" s="239"/>
      <c r="AU762" s="239"/>
      <c r="AV762" s="239"/>
      <c r="AW762" s="239"/>
      <c r="AX762" s="239"/>
      <c r="AY762" s="239"/>
      <c r="CR762" s="177"/>
    </row>
    <row r="763" spans="1:16383" s="58" customFormat="1" ht="12.75" customHeight="1">
      <c r="A763" s="239"/>
      <c r="B763" s="1757"/>
      <c r="C763" s="2373"/>
      <c r="D763" s="2373"/>
      <c r="E763" s="2373"/>
      <c r="F763" s="2373"/>
      <c r="G763" s="2373"/>
      <c r="H763" s="2373"/>
      <c r="I763" s="2373"/>
      <c r="J763" s="2373"/>
      <c r="K763" s="2373"/>
      <c r="L763" s="2373"/>
      <c r="M763" s="2373"/>
      <c r="N763" s="2373"/>
      <c r="O763" s="2373"/>
      <c r="P763" s="2373"/>
      <c r="Q763" s="2373"/>
      <c r="R763" s="2373"/>
      <c r="S763" s="2373"/>
      <c r="T763" s="2373"/>
      <c r="U763" s="2373"/>
      <c r="V763" s="2373"/>
      <c r="W763" s="2373"/>
      <c r="X763" s="2373"/>
      <c r="Y763" s="2373"/>
      <c r="Z763" s="2373"/>
      <c r="AA763" s="2373"/>
      <c r="AB763" s="2373"/>
      <c r="AC763" s="2373"/>
      <c r="AD763" s="2373"/>
      <c r="AE763" s="2373"/>
      <c r="AF763" s="2373"/>
      <c r="AG763" s="2373"/>
      <c r="AH763" s="2373"/>
      <c r="AI763" s="2373"/>
      <c r="AJ763" s="2373"/>
      <c r="AK763" s="2373"/>
      <c r="AL763" s="2373"/>
      <c r="AM763" s="2373"/>
      <c r="AN763" s="2373"/>
      <c r="AO763" s="2373"/>
      <c r="AP763" s="2373"/>
      <c r="AQ763" s="2373"/>
      <c r="AR763" s="2373"/>
      <c r="AS763" s="239"/>
      <c r="AT763" s="239"/>
      <c r="AU763" s="239"/>
      <c r="AV763" s="239"/>
      <c r="AW763" s="239"/>
      <c r="AX763" s="239"/>
      <c r="AY763" s="239"/>
      <c r="CR763" s="177"/>
    </row>
    <row r="764" spans="1:16383" s="58" customFormat="1" ht="12.75" customHeight="1">
      <c r="B764" s="1757"/>
      <c r="C764" s="2373"/>
      <c r="D764" s="2373"/>
      <c r="E764" s="2373"/>
      <c r="F764" s="2373"/>
      <c r="G764" s="2373"/>
      <c r="H764" s="2373"/>
      <c r="I764" s="2373"/>
      <c r="J764" s="2373"/>
      <c r="K764" s="2373"/>
      <c r="L764" s="2373"/>
      <c r="M764" s="2373"/>
      <c r="N764" s="2373"/>
      <c r="O764" s="2373"/>
      <c r="P764" s="2373"/>
      <c r="Q764" s="2373"/>
      <c r="R764" s="2373"/>
      <c r="S764" s="2373"/>
      <c r="T764" s="2373"/>
      <c r="U764" s="2373"/>
      <c r="V764" s="2373"/>
      <c r="W764" s="2373"/>
      <c r="X764" s="2373"/>
      <c r="Y764" s="2373"/>
      <c r="Z764" s="2373"/>
      <c r="AA764" s="2373"/>
      <c r="AB764" s="2373"/>
      <c r="AC764" s="2373"/>
      <c r="AD764" s="2373"/>
      <c r="AE764" s="2373"/>
      <c r="AF764" s="2373"/>
      <c r="AG764" s="2373"/>
      <c r="AH764" s="2373"/>
      <c r="AI764" s="2373"/>
      <c r="AJ764" s="2373"/>
      <c r="AK764" s="2373"/>
      <c r="AL764" s="2373"/>
      <c r="AM764" s="2373"/>
      <c r="AN764" s="2373"/>
      <c r="AO764" s="2373"/>
      <c r="AP764" s="2373"/>
      <c r="AQ764" s="2373"/>
      <c r="AR764" s="2373"/>
      <c r="AS764" s="239"/>
      <c r="AT764" s="239"/>
      <c r="AU764" s="239"/>
      <c r="AV764" s="239"/>
      <c r="AW764" s="239"/>
      <c r="AX764" s="239"/>
      <c r="AY764" s="239"/>
      <c r="CR764" s="177"/>
    </row>
    <row r="765" spans="1:16383" s="58" customFormat="1" ht="12.75" customHeight="1">
      <c r="B765" s="1757"/>
      <c r="C765" s="2373" t="s">
        <v>2453</v>
      </c>
      <c r="D765" s="2373"/>
      <c r="E765" s="2373"/>
      <c r="F765" s="2373"/>
      <c r="G765" s="2373"/>
      <c r="H765" s="2373"/>
      <c r="I765" s="2373"/>
      <c r="J765" s="2373"/>
      <c r="K765" s="2373"/>
      <c r="L765" s="2373"/>
      <c r="M765" s="2373"/>
      <c r="N765" s="2373"/>
      <c r="O765" s="2373"/>
      <c r="P765" s="2373"/>
      <c r="Q765" s="2373"/>
      <c r="R765" s="2373"/>
      <c r="S765" s="2373"/>
      <c r="T765" s="2373"/>
      <c r="U765" s="2373"/>
      <c r="V765" s="2373"/>
      <c r="W765" s="2373"/>
      <c r="X765" s="2373"/>
      <c r="Y765" s="2373"/>
      <c r="Z765" s="2373"/>
      <c r="AA765" s="2373"/>
      <c r="AB765" s="2373"/>
      <c r="AC765" s="2373"/>
      <c r="AD765" s="2373"/>
      <c r="AE765" s="2373"/>
      <c r="AF765" s="2373"/>
      <c r="AG765" s="2373"/>
      <c r="AH765" s="2373"/>
      <c r="AI765" s="2373"/>
      <c r="AJ765" s="2373"/>
      <c r="AK765" s="2373"/>
      <c r="AL765" s="2373"/>
      <c r="AM765" s="2373"/>
      <c r="AN765" s="2373"/>
      <c r="AO765" s="2373"/>
      <c r="AP765" s="2373"/>
      <c r="AQ765" s="2373"/>
      <c r="AR765" s="2373"/>
      <c r="AS765" s="239"/>
      <c r="AT765" s="239"/>
      <c r="AU765" s="239"/>
      <c r="AV765" s="239"/>
      <c r="AW765" s="239"/>
      <c r="AX765" s="239"/>
      <c r="AY765" s="239"/>
      <c r="CR765" s="177"/>
    </row>
    <row r="766" spans="1:16383" s="58" customFormat="1" ht="12.75" customHeight="1">
      <c r="B766" s="1757"/>
      <c r="C766" s="2373"/>
      <c r="D766" s="2373"/>
      <c r="E766" s="2373"/>
      <c r="F766" s="2373"/>
      <c r="G766" s="2373"/>
      <c r="H766" s="2373"/>
      <c r="I766" s="2373"/>
      <c r="J766" s="2373"/>
      <c r="K766" s="2373"/>
      <c r="L766" s="2373"/>
      <c r="M766" s="2373"/>
      <c r="N766" s="2373"/>
      <c r="O766" s="2373"/>
      <c r="P766" s="2373"/>
      <c r="Q766" s="2373"/>
      <c r="R766" s="2373"/>
      <c r="S766" s="2373"/>
      <c r="T766" s="2373"/>
      <c r="U766" s="2373"/>
      <c r="V766" s="2373"/>
      <c r="W766" s="2373"/>
      <c r="X766" s="2373"/>
      <c r="Y766" s="2373"/>
      <c r="Z766" s="2373"/>
      <c r="AA766" s="2373"/>
      <c r="AB766" s="2373"/>
      <c r="AC766" s="2373"/>
      <c r="AD766" s="2373"/>
      <c r="AE766" s="2373"/>
      <c r="AF766" s="2373"/>
      <c r="AG766" s="2373"/>
      <c r="AH766" s="2373"/>
      <c r="AI766" s="2373"/>
      <c r="AJ766" s="2373"/>
      <c r="AK766" s="2373"/>
      <c r="AL766" s="2373"/>
      <c r="AM766" s="2373"/>
      <c r="AN766" s="2373"/>
      <c r="AO766" s="2373"/>
      <c r="AP766" s="2373"/>
      <c r="AQ766" s="2373"/>
      <c r="AR766" s="2373"/>
      <c r="AS766" s="239"/>
      <c r="AT766" s="239"/>
      <c r="AU766" s="239"/>
      <c r="AV766" s="239"/>
      <c r="AW766" s="239"/>
      <c r="AX766" s="239"/>
      <c r="AY766" s="239"/>
      <c r="CR766" s="177"/>
    </row>
    <row r="767" spans="1:16383" s="58" customFormat="1" ht="12.75" customHeight="1">
      <c r="B767" s="1757"/>
      <c r="C767" s="2373"/>
      <c r="D767" s="2373"/>
      <c r="E767" s="2373"/>
      <c r="F767" s="2373"/>
      <c r="G767" s="2373"/>
      <c r="H767" s="2373"/>
      <c r="I767" s="2373"/>
      <c r="J767" s="2373"/>
      <c r="K767" s="2373"/>
      <c r="L767" s="2373"/>
      <c r="M767" s="2373"/>
      <c r="N767" s="2373"/>
      <c r="O767" s="2373"/>
      <c r="P767" s="2373"/>
      <c r="Q767" s="2373"/>
      <c r="R767" s="2373"/>
      <c r="S767" s="2373"/>
      <c r="T767" s="2373"/>
      <c r="U767" s="2373"/>
      <c r="V767" s="2373"/>
      <c r="W767" s="2373"/>
      <c r="X767" s="2373"/>
      <c r="Y767" s="2373"/>
      <c r="Z767" s="2373"/>
      <c r="AA767" s="2373"/>
      <c r="AB767" s="2373"/>
      <c r="AC767" s="2373"/>
      <c r="AD767" s="2373"/>
      <c r="AE767" s="2373"/>
      <c r="AF767" s="2373"/>
      <c r="AG767" s="2373"/>
      <c r="AH767" s="2373"/>
      <c r="AI767" s="2373"/>
      <c r="AJ767" s="2373"/>
      <c r="AK767" s="2373"/>
      <c r="AL767" s="2373"/>
      <c r="AM767" s="2373"/>
      <c r="AN767" s="2373"/>
      <c r="AO767" s="2373"/>
      <c r="AP767" s="2373"/>
      <c r="AQ767" s="2373"/>
      <c r="AR767" s="2373"/>
      <c r="AS767" s="239"/>
      <c r="AT767" s="239"/>
      <c r="AU767" s="239"/>
      <c r="AV767" s="239"/>
      <c r="AW767" s="239"/>
      <c r="AX767" s="239"/>
      <c r="AY767" s="239"/>
      <c r="CR767" s="177"/>
    </row>
    <row r="768" spans="1:16383" ht="12.75" customHeight="1">
      <c r="J768" s="2224" t="s">
        <v>407</v>
      </c>
      <c r="K768" s="2225"/>
      <c r="L768" s="2225"/>
      <c r="M768" s="2225"/>
      <c r="N768" s="2226"/>
      <c r="O768" s="2317" t="s">
        <v>291</v>
      </c>
      <c r="P768" s="2317"/>
      <c r="Q768" s="2317"/>
      <c r="R768" s="2317"/>
      <c r="S768" s="2317"/>
      <c r="T768" s="2233" t="s">
        <v>2094</v>
      </c>
      <c r="U768" s="2234"/>
      <c r="V768" s="2234"/>
      <c r="W768" s="2235"/>
      <c r="X768" s="2224" t="s">
        <v>478</v>
      </c>
      <c r="Y768" s="2225"/>
      <c r="Z768" s="2225"/>
      <c r="AA768" s="2225"/>
      <c r="AB768" s="2226"/>
      <c r="AC768" s="2224" t="s">
        <v>292</v>
      </c>
      <c r="AD768" s="2225"/>
      <c r="AE768" s="2225"/>
      <c r="AF768" s="2225"/>
      <c r="AG768" s="2226"/>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7"/>
      <c r="K769" s="2228"/>
      <c r="L769" s="2228"/>
      <c r="M769" s="2228"/>
      <c r="N769" s="2229"/>
      <c r="O769" s="2317"/>
      <c r="P769" s="2317"/>
      <c r="Q769" s="2317"/>
      <c r="R769" s="2317"/>
      <c r="S769" s="2317"/>
      <c r="T769" s="2236"/>
      <c r="U769" s="2237"/>
      <c r="V769" s="2237"/>
      <c r="W769" s="2238"/>
      <c r="X769" s="2227"/>
      <c r="Y769" s="2228"/>
      <c r="Z769" s="2228"/>
      <c r="AA769" s="2228"/>
      <c r="AB769" s="2229"/>
      <c r="AC769" s="2227"/>
      <c r="AD769" s="2228"/>
      <c r="AE769" s="2228"/>
      <c r="AF769" s="2228"/>
      <c r="AG769" s="2229"/>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7"/>
      <c r="K770" s="2228"/>
      <c r="L770" s="2228"/>
      <c r="M770" s="2228"/>
      <c r="N770" s="2229"/>
      <c r="O770" s="2317"/>
      <c r="P770" s="2317"/>
      <c r="Q770" s="2317"/>
      <c r="R770" s="2317"/>
      <c r="S770" s="2317"/>
      <c r="T770" s="2236"/>
      <c r="U770" s="2237"/>
      <c r="V770" s="2237"/>
      <c r="W770" s="2238"/>
      <c r="X770" s="2227"/>
      <c r="Y770" s="2228"/>
      <c r="Z770" s="2228"/>
      <c r="AA770" s="2228"/>
      <c r="AB770" s="2229"/>
      <c r="AC770" s="2227"/>
      <c r="AD770" s="2228"/>
      <c r="AE770" s="2228"/>
      <c r="AF770" s="2228"/>
      <c r="AG770" s="2229"/>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0"/>
      <c r="K771" s="2231"/>
      <c r="L771" s="2231"/>
      <c r="M771" s="2231"/>
      <c r="N771" s="2232"/>
      <c r="O771" s="2317"/>
      <c r="P771" s="2317"/>
      <c r="Q771" s="2317"/>
      <c r="R771" s="2317"/>
      <c r="S771" s="2317"/>
      <c r="T771" s="2239"/>
      <c r="U771" s="2240"/>
      <c r="V771" s="2240"/>
      <c r="W771" s="2241"/>
      <c r="X771" s="2230"/>
      <c r="Y771" s="2231"/>
      <c r="Z771" s="2231"/>
      <c r="AA771" s="2231"/>
      <c r="AB771" s="2232"/>
      <c r="AC771" s="2230"/>
      <c r="AD771" s="2231"/>
      <c r="AE771" s="2231"/>
      <c r="AF771" s="2231"/>
      <c r="AG771" s="2232"/>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2" t="s">
        <v>168</v>
      </c>
      <c r="K772" s="2143"/>
      <c r="L772" s="2143"/>
      <c r="M772" s="2143"/>
      <c r="N772" s="2144"/>
      <c r="O772" s="2242">
        <v>3</v>
      </c>
      <c r="P772" s="2242"/>
      <c r="Q772" s="2242"/>
      <c r="R772" s="2242"/>
      <c r="S772" s="2242"/>
      <c r="T772" s="2206">
        <v>825</v>
      </c>
      <c r="U772" s="2207"/>
      <c r="V772" s="2207"/>
      <c r="W772" s="2208"/>
      <c r="X772" s="2180"/>
      <c r="Y772" s="2181"/>
      <c r="Z772" s="2181"/>
      <c r="AA772" s="2181"/>
      <c r="AB772" s="2182"/>
      <c r="AC772" s="1985">
        <f>X772*O772</f>
        <v>0</v>
      </c>
      <c r="AD772" s="1986"/>
      <c r="AE772" s="1986"/>
      <c r="AF772" s="1986"/>
      <c r="AG772" s="198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2"/>
      <c r="K773" s="2143"/>
      <c r="L773" s="2143"/>
      <c r="M773" s="2143"/>
      <c r="N773" s="2144"/>
      <c r="O773" s="2242"/>
      <c r="P773" s="2242"/>
      <c r="Q773" s="2242"/>
      <c r="R773" s="2242"/>
      <c r="S773" s="2242"/>
      <c r="T773" s="2206"/>
      <c r="U773" s="2207"/>
      <c r="V773" s="2207"/>
      <c r="W773" s="2208"/>
      <c r="X773" s="2180"/>
      <c r="Y773" s="2181"/>
      <c r="Z773" s="2181"/>
      <c r="AA773" s="2181"/>
      <c r="AB773" s="2182"/>
      <c r="AC773" s="1985">
        <f>X773*O773</f>
        <v>0</v>
      </c>
      <c r="AD773" s="1986"/>
      <c r="AE773" s="1986"/>
      <c r="AF773" s="1986"/>
      <c r="AG773" s="198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2"/>
      <c r="K774" s="2143"/>
      <c r="L774" s="2143"/>
      <c r="M774" s="2143"/>
      <c r="N774" s="2144"/>
      <c r="O774" s="2242"/>
      <c r="P774" s="2242"/>
      <c r="Q774" s="2242"/>
      <c r="R774" s="2242"/>
      <c r="S774" s="2242"/>
      <c r="T774" s="2206"/>
      <c r="U774" s="2207"/>
      <c r="V774" s="2207"/>
      <c r="W774" s="2208"/>
      <c r="X774" s="2180"/>
      <c r="Y774" s="2181"/>
      <c r="Z774" s="2181"/>
      <c r="AA774" s="2181"/>
      <c r="AB774" s="2182"/>
      <c r="AC774" s="1985">
        <f>X774*O774</f>
        <v>0</v>
      </c>
      <c r="AD774" s="1986"/>
      <c r="AE774" s="1986"/>
      <c r="AF774" s="1986"/>
      <c r="AG774" s="198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2"/>
      <c r="K775" s="2143"/>
      <c r="L775" s="2143"/>
      <c r="M775" s="2143"/>
      <c r="N775" s="2144"/>
      <c r="O775" s="2242"/>
      <c r="P775" s="2242"/>
      <c r="Q775" s="2242"/>
      <c r="R775" s="2242"/>
      <c r="S775" s="2242"/>
      <c r="T775" s="2206"/>
      <c r="U775" s="2207"/>
      <c r="V775" s="2207"/>
      <c r="W775" s="2208"/>
      <c r="X775" s="2180"/>
      <c r="Y775" s="2181"/>
      <c r="Z775" s="2181"/>
      <c r="AA775" s="2181"/>
      <c r="AB775" s="2182"/>
      <c r="AC775" s="1985">
        <f>X775*O775</f>
        <v>0</v>
      </c>
      <c r="AD775" s="1986"/>
      <c r="AE775" s="1986"/>
      <c r="AF775" s="1986"/>
      <c r="AG775" s="198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4" t="s">
        <v>130</v>
      </c>
      <c r="K776" s="2285"/>
      <c r="L776" s="2285"/>
      <c r="M776" s="2285"/>
      <c r="N776" s="2286"/>
      <c r="O776" s="2281">
        <f>SUM(O772:S775)</f>
        <v>3</v>
      </c>
      <c r="P776" s="2282"/>
      <c r="Q776" s="2282"/>
      <c r="R776" s="2282"/>
      <c r="S776" s="2283"/>
      <c r="X776" s="2221" t="s">
        <v>129</v>
      </c>
      <c r="Y776" s="2222"/>
      <c r="Z776" s="2222"/>
      <c r="AA776" s="2222"/>
      <c r="AB776" s="2223"/>
      <c r="AC776" s="1985">
        <f>SUM(AC772:AG775)</f>
        <v>0</v>
      </c>
      <c r="AD776" s="1986"/>
      <c r="AE776" s="1986"/>
      <c r="AF776" s="1986"/>
      <c r="AG776" s="198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1" t="s">
        <v>706</v>
      </c>
      <c r="K778" s="230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4" t="s">
        <v>407</v>
      </c>
      <c r="K782" s="2225"/>
      <c r="L782" s="2225"/>
      <c r="M782" s="2225"/>
      <c r="N782" s="2226"/>
      <c r="O782" s="2317" t="s">
        <v>291</v>
      </c>
      <c r="P782" s="2317"/>
      <c r="Q782" s="2317"/>
      <c r="R782" s="2317"/>
      <c r="S782" s="2317"/>
      <c r="T782" s="2233" t="s">
        <v>2094</v>
      </c>
      <c r="U782" s="2234"/>
      <c r="V782" s="2234"/>
      <c r="W782" s="2235"/>
      <c r="X782" s="2224" t="s">
        <v>478</v>
      </c>
      <c r="Y782" s="2225"/>
      <c r="Z782" s="2225"/>
      <c r="AA782" s="2225"/>
      <c r="AB782" s="2226"/>
      <c r="AC782" s="2224" t="s">
        <v>292</v>
      </c>
      <c r="AD782" s="2225"/>
      <c r="AE782" s="2225"/>
      <c r="AF782" s="2225"/>
      <c r="AG782" s="2226"/>
      <c r="AH782" s="2365" t="s">
        <v>2311</v>
      </c>
      <c r="AI782" s="2225"/>
      <c r="AJ782" s="2225"/>
      <c r="AK782" s="2225"/>
      <c r="AL782" s="222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7"/>
      <c r="K783" s="2228"/>
      <c r="L783" s="2228"/>
      <c r="M783" s="2228"/>
      <c r="N783" s="2229"/>
      <c r="O783" s="2317"/>
      <c r="P783" s="2317"/>
      <c r="Q783" s="2317"/>
      <c r="R783" s="2317"/>
      <c r="S783" s="2317"/>
      <c r="T783" s="2236"/>
      <c r="U783" s="2237"/>
      <c r="V783" s="2237"/>
      <c r="W783" s="2238"/>
      <c r="X783" s="2227"/>
      <c r="Y783" s="2228"/>
      <c r="Z783" s="2228"/>
      <c r="AA783" s="2228"/>
      <c r="AB783" s="2229"/>
      <c r="AC783" s="2227"/>
      <c r="AD783" s="2228"/>
      <c r="AE783" s="2228"/>
      <c r="AF783" s="2228"/>
      <c r="AG783" s="2229"/>
      <c r="AH783" s="2227"/>
      <c r="AI783" s="2228"/>
      <c r="AJ783" s="2228"/>
      <c r="AK783" s="2228"/>
      <c r="AL783" s="222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7"/>
      <c r="K784" s="2228"/>
      <c r="L784" s="2228"/>
      <c r="M784" s="2228"/>
      <c r="N784" s="2229"/>
      <c r="O784" s="2317"/>
      <c r="P784" s="2317"/>
      <c r="Q784" s="2317"/>
      <c r="R784" s="2317"/>
      <c r="S784" s="2317"/>
      <c r="T784" s="2236"/>
      <c r="U784" s="2237"/>
      <c r="V784" s="2237"/>
      <c r="W784" s="2238"/>
      <c r="X784" s="2227"/>
      <c r="Y784" s="2228"/>
      <c r="Z784" s="2228"/>
      <c r="AA784" s="2228"/>
      <c r="AB784" s="2229"/>
      <c r="AC784" s="2227"/>
      <c r="AD784" s="2228"/>
      <c r="AE784" s="2228"/>
      <c r="AF784" s="2228"/>
      <c r="AG784" s="2229"/>
      <c r="AH784" s="2227"/>
      <c r="AI784" s="2228"/>
      <c r="AJ784" s="2228"/>
      <c r="AK784" s="2228"/>
      <c r="AL784" s="222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0"/>
      <c r="K785" s="2231"/>
      <c r="L785" s="2231"/>
      <c r="M785" s="2231"/>
      <c r="N785" s="2232"/>
      <c r="O785" s="2317"/>
      <c r="P785" s="2317"/>
      <c r="Q785" s="2317"/>
      <c r="R785" s="2317"/>
      <c r="S785" s="2317"/>
      <c r="T785" s="2239"/>
      <c r="U785" s="2240"/>
      <c r="V785" s="2240"/>
      <c r="W785" s="2241"/>
      <c r="X785" s="2230"/>
      <c r="Y785" s="2231"/>
      <c r="Z785" s="2231"/>
      <c r="AA785" s="2231"/>
      <c r="AB785" s="2232"/>
      <c r="AC785" s="2230"/>
      <c r="AD785" s="2231"/>
      <c r="AE785" s="2231"/>
      <c r="AF785" s="2231"/>
      <c r="AG785" s="2232"/>
      <c r="AH785" s="2230"/>
      <c r="AI785" s="2231"/>
      <c r="AJ785" s="2231"/>
      <c r="AK785" s="2231"/>
      <c r="AL785" s="223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2"/>
      <c r="K786" s="2143"/>
      <c r="L786" s="2143"/>
      <c r="M786" s="2143"/>
      <c r="N786" s="2144"/>
      <c r="O786" s="2242"/>
      <c r="P786" s="2242"/>
      <c r="Q786" s="2242"/>
      <c r="R786" s="2242"/>
      <c r="S786" s="2242"/>
      <c r="T786" s="2206"/>
      <c r="U786" s="2207"/>
      <c r="V786" s="2207"/>
      <c r="W786" s="2208"/>
      <c r="X786" s="2180"/>
      <c r="Y786" s="2181"/>
      <c r="Z786" s="2181"/>
      <c r="AA786" s="2181"/>
      <c r="AB786" s="2182"/>
      <c r="AC786" s="1985">
        <f t="shared" ref="AC786:AC795" si="50">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2"/>
      <c r="K787" s="2143"/>
      <c r="L787" s="2143"/>
      <c r="M787" s="2143"/>
      <c r="N787" s="2144"/>
      <c r="O787" s="2242"/>
      <c r="P787" s="2242"/>
      <c r="Q787" s="2242"/>
      <c r="R787" s="2242"/>
      <c r="S787" s="2242"/>
      <c r="T787" s="2206"/>
      <c r="U787" s="2207"/>
      <c r="V787" s="2207"/>
      <c r="W787" s="2208"/>
      <c r="X787" s="2180"/>
      <c r="Y787" s="2181"/>
      <c r="Z787" s="2181"/>
      <c r="AA787" s="2181"/>
      <c r="AB787" s="2182"/>
      <c r="AC787" s="1985">
        <f t="shared" si="50"/>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2"/>
      <c r="K788" s="2143"/>
      <c r="L788" s="2143"/>
      <c r="M788" s="2143"/>
      <c r="N788" s="2144"/>
      <c r="O788" s="2242"/>
      <c r="P788" s="2242"/>
      <c r="Q788" s="2242"/>
      <c r="R788" s="2242"/>
      <c r="S788" s="2242"/>
      <c r="T788" s="2206"/>
      <c r="U788" s="2207"/>
      <c r="V788" s="2207"/>
      <c r="W788" s="2208"/>
      <c r="X788" s="2180"/>
      <c r="Y788" s="2181"/>
      <c r="Z788" s="2181"/>
      <c r="AA788" s="2181"/>
      <c r="AB788" s="2182"/>
      <c r="AC788" s="1985">
        <f t="shared" si="50"/>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2"/>
      <c r="K789" s="2143"/>
      <c r="L789" s="2143"/>
      <c r="M789" s="2143"/>
      <c r="N789" s="2144"/>
      <c r="O789" s="2242"/>
      <c r="P789" s="2242"/>
      <c r="Q789" s="2242"/>
      <c r="R789" s="2242"/>
      <c r="S789" s="2242"/>
      <c r="T789" s="2206"/>
      <c r="U789" s="2207"/>
      <c r="V789" s="2207"/>
      <c r="W789" s="2208"/>
      <c r="X789" s="2180"/>
      <c r="Y789" s="2181"/>
      <c r="Z789" s="2181"/>
      <c r="AA789" s="2181"/>
      <c r="AB789" s="2182"/>
      <c r="AC789" s="1985">
        <f t="shared" si="50"/>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2"/>
      <c r="K790" s="2143"/>
      <c r="L790" s="2143"/>
      <c r="M790" s="2143"/>
      <c r="N790" s="2144"/>
      <c r="O790" s="2242"/>
      <c r="P790" s="2242"/>
      <c r="Q790" s="2242"/>
      <c r="R790" s="2242"/>
      <c r="S790" s="2242"/>
      <c r="T790" s="2206"/>
      <c r="U790" s="2207"/>
      <c r="V790" s="2207"/>
      <c r="W790" s="2208"/>
      <c r="X790" s="2180"/>
      <c r="Y790" s="2181"/>
      <c r="Z790" s="2181"/>
      <c r="AA790" s="2181"/>
      <c r="AB790" s="2182"/>
      <c r="AC790" s="1985">
        <f t="shared" si="50"/>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2"/>
      <c r="K791" s="2143"/>
      <c r="L791" s="2143"/>
      <c r="M791" s="2143"/>
      <c r="N791" s="2144"/>
      <c r="O791" s="2242"/>
      <c r="P791" s="2242"/>
      <c r="Q791" s="2242"/>
      <c r="R791" s="2242"/>
      <c r="S791" s="2242"/>
      <c r="T791" s="2206"/>
      <c r="U791" s="2207"/>
      <c r="V791" s="2207"/>
      <c r="W791" s="2208"/>
      <c r="X791" s="2180"/>
      <c r="Y791" s="2181"/>
      <c r="Z791" s="2181"/>
      <c r="AA791" s="2181"/>
      <c r="AB791" s="2182"/>
      <c r="AC791" s="1985">
        <f t="shared" si="50"/>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2"/>
      <c r="K792" s="2143"/>
      <c r="L792" s="2143"/>
      <c r="M792" s="2143"/>
      <c r="N792" s="2144"/>
      <c r="O792" s="2242"/>
      <c r="P792" s="2242"/>
      <c r="Q792" s="2242"/>
      <c r="R792" s="2242"/>
      <c r="S792" s="2242"/>
      <c r="T792" s="2206"/>
      <c r="U792" s="2207"/>
      <c r="V792" s="2207"/>
      <c r="W792" s="2208"/>
      <c r="X792" s="2180"/>
      <c r="Y792" s="2181"/>
      <c r="Z792" s="2181"/>
      <c r="AA792" s="2181"/>
      <c r="AB792" s="2182"/>
      <c r="AC792" s="1985">
        <f t="shared" si="50"/>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2"/>
      <c r="K793" s="2143"/>
      <c r="L793" s="2143"/>
      <c r="M793" s="2143"/>
      <c r="N793" s="2144"/>
      <c r="O793" s="2242"/>
      <c r="P793" s="2242"/>
      <c r="Q793" s="2242"/>
      <c r="R793" s="2242"/>
      <c r="S793" s="2242"/>
      <c r="T793" s="2206"/>
      <c r="U793" s="2207"/>
      <c r="V793" s="2207"/>
      <c r="W793" s="2208"/>
      <c r="X793" s="2180"/>
      <c r="Y793" s="2181"/>
      <c r="Z793" s="2181"/>
      <c r="AA793" s="2181"/>
      <c r="AB793" s="2182"/>
      <c r="AC793" s="1985">
        <f t="shared" si="50"/>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2"/>
      <c r="K794" s="2143"/>
      <c r="L794" s="2143"/>
      <c r="M794" s="2143"/>
      <c r="N794" s="2144"/>
      <c r="O794" s="2242"/>
      <c r="P794" s="2242"/>
      <c r="Q794" s="2242"/>
      <c r="R794" s="2242"/>
      <c r="S794" s="2242"/>
      <c r="T794" s="2206"/>
      <c r="U794" s="2207"/>
      <c r="V794" s="2207"/>
      <c r="W794" s="2208"/>
      <c r="X794" s="2180"/>
      <c r="Y794" s="2181"/>
      <c r="Z794" s="2181"/>
      <c r="AA794" s="2181"/>
      <c r="AB794" s="2182"/>
      <c r="AC794" s="1985">
        <f t="shared" si="50"/>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2"/>
      <c r="K795" s="2143"/>
      <c r="L795" s="2143"/>
      <c r="M795" s="2143"/>
      <c r="N795" s="2144"/>
      <c r="O795" s="2242"/>
      <c r="P795" s="2242"/>
      <c r="Q795" s="2242"/>
      <c r="R795" s="2242"/>
      <c r="S795" s="2242"/>
      <c r="T795" s="2206"/>
      <c r="U795" s="2207"/>
      <c r="V795" s="2207"/>
      <c r="W795" s="2208"/>
      <c r="X795" s="2180"/>
      <c r="Y795" s="2181"/>
      <c r="Z795" s="2181"/>
      <c r="AA795" s="2181"/>
      <c r="AB795" s="2182"/>
      <c r="AC795" s="1985">
        <f t="shared" si="50"/>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4" t="s">
        <v>130</v>
      </c>
      <c r="K796" s="2285"/>
      <c r="L796" s="2285"/>
      <c r="M796" s="2285"/>
      <c r="N796" s="2286"/>
      <c r="O796" s="2372">
        <f>SUM(O786:S795)</f>
        <v>0</v>
      </c>
      <c r="P796" s="2372"/>
      <c r="Q796" s="2372"/>
      <c r="R796" s="2372"/>
      <c r="S796" s="2372"/>
      <c r="X796" s="1506" t="s">
        <v>129</v>
      </c>
      <c r="Y796" s="1507"/>
      <c r="Z796" s="1507"/>
      <c r="AA796" s="1507"/>
      <c r="AB796" s="1508"/>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8">
        <f>T753+AC776+AC796</f>
        <v>306108</v>
      </c>
      <c r="Z798" s="2318"/>
      <c r="AA798" s="2318"/>
      <c r="AB798" s="2318"/>
      <c r="AC798" s="231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8">
        <f>(T753+AC776+AC796)*12</f>
        <v>3673296</v>
      </c>
      <c r="Z799" s="2318"/>
      <c r="AA799" s="2318"/>
      <c r="AB799" s="2318"/>
      <c r="AC799" s="2318"/>
      <c r="AZ799" s="58"/>
      <c r="BA799" s="51" t="s">
        <v>667</v>
      </c>
      <c r="BB799" s="51"/>
      <c r="BC799" s="51"/>
      <c r="BD799" s="51"/>
      <c r="BE799" s="51"/>
      <c r="BF799" s="51"/>
      <c r="BG799" s="51"/>
      <c r="BH799" s="51"/>
      <c r="BI799" s="51"/>
      <c r="BJ799" s="51"/>
      <c r="BK799" s="51"/>
      <c r="BL799" s="51"/>
      <c r="BM799" s="51"/>
      <c r="BN799" s="2315" t="s">
        <v>502</v>
      </c>
      <c r="BO799" s="2316"/>
      <c r="BP799" s="58"/>
      <c r="BQ799" s="58"/>
      <c r="BR799" s="58"/>
      <c r="BS799" s="51" t="s">
        <v>669</v>
      </c>
      <c r="BT799" s="51"/>
      <c r="BU799" s="51"/>
      <c r="BV799" s="51"/>
      <c r="BW799" s="51"/>
      <c r="BX799" s="51"/>
      <c r="BY799" s="51"/>
      <c r="BZ799" s="51"/>
      <c r="CA799" s="51"/>
      <c r="CB799" s="2312" t="str">
        <f>T189</f>
        <v>Sacramento</v>
      </c>
      <c r="CC799" s="2313"/>
      <c r="CD799" s="2313"/>
      <c r="CE799" s="2313"/>
      <c r="CF799" s="2313"/>
      <c r="CG799" s="2313"/>
      <c r="CH799" s="231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1"/>
      <c r="AA804" s="2332"/>
      <c r="AB804" s="2332"/>
      <c r="AC804" s="2332"/>
      <c r="AD804" s="2332"/>
      <c r="AE804" s="233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7"/>
      <c r="AA805" s="2332"/>
      <c r="AB805" s="2332"/>
      <c r="AC805" s="2332"/>
      <c r="AD805" s="2332"/>
      <c r="AE805" s="233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7">
        <v>0</v>
      </c>
      <c r="AA806" s="2178"/>
      <c r="AB806" s="2178"/>
      <c r="AC806" s="2178"/>
      <c r="AD806" s="2178"/>
      <c r="AE806" s="217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1">
        <f>'Subsidy Contract Calculation'!I30</f>
        <v>0</v>
      </c>
      <c r="AA807" s="2292"/>
      <c r="AB807" s="2292"/>
      <c r="AC807" s="2292"/>
      <c r="AD807" s="2292"/>
      <c r="AE807" s="22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29400</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v>3750</v>
      </c>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v>3750</v>
      </c>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8" t="s">
        <v>2653</v>
      </c>
      <c r="Q814" s="2174"/>
      <c r="R814" s="2174"/>
      <c r="S814" s="2174"/>
      <c r="T814" s="2174"/>
      <c r="U814" s="2174"/>
      <c r="V814" s="2174"/>
      <c r="W814" s="2174"/>
      <c r="X814" s="2174"/>
      <c r="Y814" s="2175"/>
      <c r="Z814" s="1982">
        <v>7200</v>
      </c>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1">
        <f>SUM(Z811:AE814)</f>
        <v>44100</v>
      </c>
      <c r="AA815" s="2292"/>
      <c r="AB815" s="2292"/>
      <c r="AC815" s="2292"/>
      <c r="AD815" s="2292"/>
      <c r="AE815" s="22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1">
        <f>Z815+Y799+Z807</f>
        <v>3717396</v>
      </c>
      <c r="AA816" s="2292"/>
      <c r="AB816" s="2292"/>
      <c r="AC816" s="2292"/>
      <c r="AD816" s="2292"/>
      <c r="AE816" s="22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8" t="s">
        <v>131</v>
      </c>
      <c r="N821" s="2368"/>
      <c r="O821" s="2368"/>
      <c r="P821" s="2369"/>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215" t="s">
        <v>344</v>
      </c>
      <c r="AH821" s="2215"/>
      <c r="AI821" s="2215"/>
      <c r="AJ821" s="221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0"/>
      <c r="N822" s="2370"/>
      <c r="O822" s="2370"/>
      <c r="P822" s="2371"/>
      <c r="Q822" s="2277"/>
      <c r="R822" s="2277"/>
      <c r="S822" s="2277"/>
      <c r="T822" s="2277"/>
      <c r="U822" s="2277"/>
      <c r="V822" s="2277"/>
      <c r="W822" s="2277"/>
      <c r="X822" s="2277"/>
      <c r="Y822" s="2277"/>
      <c r="Z822" s="2277"/>
      <c r="AA822" s="2277"/>
      <c r="AB822" s="2277"/>
      <c r="AC822" s="2277"/>
      <c r="AD822" s="2277"/>
      <c r="AE822" s="2277"/>
      <c r="AF822" s="2277"/>
      <c r="AG822" s="2215"/>
      <c r="AH822" s="2215"/>
      <c r="AI822" s="2215"/>
      <c r="AJ822" s="221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9" t="s">
        <v>43</v>
      </c>
      <c r="D823" s="2210"/>
      <c r="E823" s="2210"/>
      <c r="F823" s="2210"/>
      <c r="G823" s="2210"/>
      <c r="H823" s="2210"/>
      <c r="I823" s="80"/>
      <c r="J823" s="80"/>
      <c r="K823" s="80"/>
      <c r="L823" s="81"/>
      <c r="M823" s="2205">
        <v>12</v>
      </c>
      <c r="N823" s="2205"/>
      <c r="O823" s="2205"/>
      <c r="P823" s="2205"/>
      <c r="Q823" s="2205">
        <v>14</v>
      </c>
      <c r="R823" s="2205"/>
      <c r="S823" s="2205"/>
      <c r="T823" s="2205"/>
      <c r="U823" s="2205">
        <v>17</v>
      </c>
      <c r="V823" s="2205"/>
      <c r="W823" s="2205"/>
      <c r="X823" s="2205"/>
      <c r="Y823" s="2205">
        <v>21</v>
      </c>
      <c r="Z823" s="2205"/>
      <c r="AA823" s="2205"/>
      <c r="AB823" s="2205"/>
      <c r="AC823" s="2014"/>
      <c r="AD823" s="2015"/>
      <c r="AE823" s="2015"/>
      <c r="AF823" s="2016"/>
      <c r="AG823" s="2014"/>
      <c r="AH823" s="2015"/>
      <c r="AI823" s="2015"/>
      <c r="AJ823" s="20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1" t="s">
        <v>44</v>
      </c>
      <c r="D824" s="2212"/>
      <c r="E824" s="2212"/>
      <c r="F824" s="2212"/>
      <c r="G824" s="2212"/>
      <c r="H824" s="2212"/>
      <c r="I824" s="77"/>
      <c r="J824" s="77"/>
      <c r="K824" s="77"/>
      <c r="L824" s="78"/>
      <c r="M824" s="2205">
        <v>13</v>
      </c>
      <c r="N824" s="2205"/>
      <c r="O824" s="2205"/>
      <c r="P824" s="2205"/>
      <c r="Q824" s="2205">
        <v>15</v>
      </c>
      <c r="R824" s="2205"/>
      <c r="S824" s="2205"/>
      <c r="T824" s="2205"/>
      <c r="U824" s="2205">
        <v>19</v>
      </c>
      <c r="V824" s="2205"/>
      <c r="W824" s="2205"/>
      <c r="X824" s="2205"/>
      <c r="Y824" s="2205">
        <v>23</v>
      </c>
      <c r="Z824" s="2205"/>
      <c r="AA824" s="2205"/>
      <c r="AB824" s="2205"/>
      <c r="AC824" s="2014"/>
      <c r="AD824" s="2015"/>
      <c r="AE824" s="2015"/>
      <c r="AF824" s="2016"/>
      <c r="AG824" s="2014"/>
      <c r="AH824" s="2015"/>
      <c r="AI824" s="2015"/>
      <c r="AJ824" s="20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1" t="s">
        <v>45</v>
      </c>
      <c r="D825" s="2212"/>
      <c r="E825" s="2212"/>
      <c r="F825" s="2212"/>
      <c r="G825" s="2212"/>
      <c r="H825" s="2212"/>
      <c r="I825" s="96"/>
      <c r="J825" s="96"/>
      <c r="K825" s="96"/>
      <c r="L825" s="97"/>
      <c r="M825" s="2205">
        <v>5</v>
      </c>
      <c r="N825" s="2205"/>
      <c r="O825" s="2205"/>
      <c r="P825" s="2205"/>
      <c r="Q825" s="2205">
        <v>6</v>
      </c>
      <c r="R825" s="2205"/>
      <c r="S825" s="2205"/>
      <c r="T825" s="2205"/>
      <c r="U825" s="2205">
        <v>9</v>
      </c>
      <c r="V825" s="2205"/>
      <c r="W825" s="2205"/>
      <c r="X825" s="2205"/>
      <c r="Y825" s="2205">
        <v>12</v>
      </c>
      <c r="Z825" s="2205"/>
      <c r="AA825" s="2205"/>
      <c r="AB825" s="2205"/>
      <c r="AC825" s="2014"/>
      <c r="AD825" s="2015"/>
      <c r="AE825" s="2015"/>
      <c r="AF825" s="2016"/>
      <c r="AG825" s="2014"/>
      <c r="AH825" s="2015"/>
      <c r="AI825" s="2015"/>
      <c r="AJ825" s="20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1" t="s">
        <v>820</v>
      </c>
      <c r="D826" s="2212"/>
      <c r="E826" s="2212"/>
      <c r="F826" s="2212"/>
      <c r="G826" s="2212"/>
      <c r="H826" s="2212"/>
      <c r="I826" s="96"/>
      <c r="J826" s="96"/>
      <c r="K826" s="96"/>
      <c r="L826" s="97"/>
      <c r="M826" s="2205"/>
      <c r="N826" s="2205"/>
      <c r="O826" s="2205"/>
      <c r="P826" s="2205"/>
      <c r="Q826" s="2205"/>
      <c r="R826" s="2205"/>
      <c r="S826" s="2205"/>
      <c r="T826" s="2205"/>
      <c r="U826" s="2205"/>
      <c r="V826" s="2205"/>
      <c r="W826" s="2205"/>
      <c r="X826" s="2205"/>
      <c r="Y826" s="2205"/>
      <c r="Z826" s="2205"/>
      <c r="AA826" s="2205"/>
      <c r="AB826" s="2205"/>
      <c r="AC826" s="2014"/>
      <c r="AD826" s="2015"/>
      <c r="AE826" s="2015"/>
      <c r="AF826" s="2016"/>
      <c r="AG826" s="2014"/>
      <c r="AH826" s="2015"/>
      <c r="AI826" s="2015"/>
      <c r="AJ826" s="20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1" t="s">
        <v>492</v>
      </c>
      <c r="D827" s="2212"/>
      <c r="E827" s="2212"/>
      <c r="F827" s="2212"/>
      <c r="G827" s="2212"/>
      <c r="H827" s="2212"/>
      <c r="I827" s="96"/>
      <c r="J827" s="96"/>
      <c r="K827" s="96"/>
      <c r="L827" s="97"/>
      <c r="M827" s="2205">
        <v>20</v>
      </c>
      <c r="N827" s="2205"/>
      <c r="O827" s="2205"/>
      <c r="P827" s="2205"/>
      <c r="Q827" s="2205">
        <v>24</v>
      </c>
      <c r="R827" s="2205"/>
      <c r="S827" s="2205"/>
      <c r="T827" s="2205"/>
      <c r="U827" s="2205">
        <v>33</v>
      </c>
      <c r="V827" s="2205"/>
      <c r="W827" s="2205"/>
      <c r="X827" s="2205"/>
      <c r="Y827" s="2205">
        <v>43</v>
      </c>
      <c r="Z827" s="2205"/>
      <c r="AA827" s="2205"/>
      <c r="AB827" s="2205"/>
      <c r="AC827" s="2014"/>
      <c r="AD827" s="2015"/>
      <c r="AE827" s="2015"/>
      <c r="AF827" s="2016"/>
      <c r="AG827" s="2014"/>
      <c r="AH827" s="2015"/>
      <c r="AI827" s="2015"/>
      <c r="AJ827" s="20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9" t="s">
        <v>841</v>
      </c>
      <c r="D828" s="2212"/>
      <c r="E828" s="2212"/>
      <c r="F828" s="2212"/>
      <c r="G828" s="2212"/>
      <c r="H828" s="2212"/>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14"/>
      <c r="AD828" s="2015"/>
      <c r="AE828" s="2015"/>
      <c r="AF828" s="2016"/>
      <c r="AG828" s="2014"/>
      <c r="AH828" s="2015"/>
      <c r="AI828" s="2015"/>
      <c r="AJ828" s="20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7" t="s">
        <v>2654</v>
      </c>
      <c r="G829" s="2148"/>
      <c r="H829" s="2148"/>
      <c r="I829" s="2148"/>
      <c r="J829" s="2148"/>
      <c r="K829" s="2148"/>
      <c r="L829" s="2149"/>
      <c r="M829" s="2205">
        <f>8+22</f>
        <v>30</v>
      </c>
      <c r="N829" s="2205"/>
      <c r="O829" s="2205"/>
      <c r="P829" s="2205"/>
      <c r="Q829" s="2205">
        <f>10+22</f>
        <v>32</v>
      </c>
      <c r="R829" s="2205"/>
      <c r="S829" s="2205"/>
      <c r="T829" s="2205"/>
      <c r="U829" s="2205">
        <f>14+22</f>
        <v>36</v>
      </c>
      <c r="V829" s="2205"/>
      <c r="W829" s="2205"/>
      <c r="X829" s="2205"/>
      <c r="Y829" s="2205">
        <f>18+22</f>
        <v>40</v>
      </c>
      <c r="Z829" s="2205"/>
      <c r="AA829" s="2205"/>
      <c r="AB829" s="2205"/>
      <c r="AC829" s="2014"/>
      <c r="AD829" s="2015"/>
      <c r="AE829" s="2015"/>
      <c r="AF829" s="2016"/>
      <c r="AG829" s="2014"/>
      <c r="AH829" s="2015"/>
      <c r="AI829" s="2015"/>
      <c r="AJ829" s="20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4" t="s">
        <v>129</v>
      </c>
      <c r="D830" s="2285"/>
      <c r="E830" s="2285"/>
      <c r="F830" s="2285"/>
      <c r="G830" s="2285"/>
      <c r="H830" s="2285"/>
      <c r="I830" s="2285"/>
      <c r="J830" s="2285"/>
      <c r="K830" s="2285"/>
      <c r="L830" s="2286"/>
      <c r="M830" s="2280">
        <f>SUM(M823:P829)</f>
        <v>80</v>
      </c>
      <c r="N830" s="2280"/>
      <c r="O830" s="2280"/>
      <c r="P830" s="2280"/>
      <c r="Q830" s="2280">
        <f>SUM(Q823:T829)</f>
        <v>91</v>
      </c>
      <c r="R830" s="2280"/>
      <c r="S830" s="2280"/>
      <c r="T830" s="2280"/>
      <c r="U830" s="2280">
        <f>SUM(U823:X829)</f>
        <v>114</v>
      </c>
      <c r="V830" s="2280"/>
      <c r="W830" s="2280"/>
      <c r="X830" s="2280"/>
      <c r="Y830" s="2280">
        <f>SUM(Y823:AB829)</f>
        <v>139</v>
      </c>
      <c r="Z830" s="2280"/>
      <c r="AA830" s="2280"/>
      <c r="AB830" s="2280"/>
      <c r="AC830" s="2280">
        <f>SUM(AC823:AF829)</f>
        <v>0</v>
      </c>
      <c r="AD830" s="2280"/>
      <c r="AE830" s="2280"/>
      <c r="AF830" s="2280"/>
      <c r="AG830" s="2280">
        <f>SUM(AG823:AJ829)</f>
        <v>0</v>
      </c>
      <c r="AH830" s="2280"/>
      <c r="AI830" s="2280"/>
      <c r="AJ830" s="228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5" t="s">
        <v>2655</v>
      </c>
      <c r="D835" s="2346"/>
      <c r="E835" s="2346"/>
      <c r="F835" s="2346"/>
      <c r="G835" s="2346"/>
      <c r="H835" s="2346"/>
      <c r="I835" s="2346"/>
      <c r="J835" s="2346"/>
      <c r="K835" s="2346"/>
      <c r="L835" s="2346"/>
      <c r="M835" s="2346"/>
      <c r="N835" s="2346"/>
      <c r="O835" s="2346"/>
      <c r="P835" s="2346"/>
      <c r="Q835" s="2346"/>
      <c r="R835" s="2346"/>
      <c r="S835" s="2346"/>
      <c r="T835" s="2346"/>
      <c r="U835" s="2346"/>
      <c r="V835" s="2346"/>
      <c r="W835" s="2346"/>
      <c r="X835" s="2346"/>
      <c r="Y835" s="2346"/>
      <c r="Z835" s="2346"/>
      <c r="AA835" s="2346"/>
      <c r="AB835" s="2346"/>
      <c r="AC835" s="2346"/>
      <c r="AD835" s="2346"/>
      <c r="AE835" s="2346"/>
      <c r="AF835" s="2346"/>
      <c r="AG835" s="2346"/>
      <c r="AH835" s="2346"/>
      <c r="AI835" s="2346"/>
      <c r="AJ835" s="23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2">
        <v>5000</v>
      </c>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2">
        <v>2000</v>
      </c>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2">
        <v>3000</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2"/>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7" t="s">
        <v>2656</v>
      </c>
      <c r="N844" s="2148"/>
      <c r="O844" s="2148"/>
      <c r="P844" s="2148"/>
      <c r="Q844" s="2148"/>
      <c r="R844" s="2148"/>
      <c r="S844" s="2148"/>
      <c r="T844" s="2148"/>
      <c r="U844" s="2148"/>
      <c r="V844" s="2149"/>
      <c r="W844" s="2002">
        <v>9370</v>
      </c>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6">
        <f>ROUNDDOWN(BC932*2,2)</f>
        <v>0</v>
      </c>
      <c r="BJ844" s="2276"/>
      <c r="BK844" s="2276"/>
      <c r="BL844" s="2276"/>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1">
        <f>SUM(W840:AC844)</f>
        <v>19370</v>
      </c>
      <c r="X845" s="2292"/>
      <c r="Y845" s="2292"/>
      <c r="Z845" s="2292"/>
      <c r="AA845" s="2292"/>
      <c r="AB845" s="2292"/>
      <c r="AC845" s="22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1982">
        <v>113300</v>
      </c>
      <c r="X847" s="1983"/>
      <c r="Y847" s="1983"/>
      <c r="Z847" s="1983"/>
      <c r="AA847" s="1983"/>
      <c r="AB847" s="1983"/>
      <c r="AC847" s="198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6">
        <v>200</v>
      </c>
      <c r="X849" s="2216"/>
      <c r="Y849" s="2216"/>
      <c r="Z849" s="2216"/>
      <c r="AA849" s="2216"/>
      <c r="AB849" s="2216"/>
      <c r="AC849" s="221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6">
        <v>4800</v>
      </c>
      <c r="X850" s="2216"/>
      <c r="Y850" s="2216"/>
      <c r="Z850" s="2216"/>
      <c r="AA850" s="2216"/>
      <c r="AB850" s="2216"/>
      <c r="AC850" s="221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6">
        <v>29400</v>
      </c>
      <c r="X851" s="2216"/>
      <c r="Y851" s="2216"/>
      <c r="Z851" s="2216"/>
      <c r="AA851" s="2216"/>
      <c r="AB851" s="2216"/>
      <c r="AC851" s="221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4"/>
      <c r="BH851" s="2294"/>
      <c r="BI851" s="2294"/>
      <c r="BJ851" s="2294"/>
      <c r="BK851" s="2294"/>
      <c r="BL851" s="2294"/>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6">
        <v>293700</v>
      </c>
      <c r="X852" s="2216"/>
      <c r="Y852" s="2216"/>
      <c r="Z852" s="2216"/>
      <c r="AA852" s="2216"/>
      <c r="AB852" s="2216"/>
      <c r="AC852" s="221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0">
        <f>SUM(W849:AC852)</f>
        <v>328100</v>
      </c>
      <c r="X853" s="2360"/>
      <c r="Y853" s="2360"/>
      <c r="Z853" s="2360"/>
      <c r="AA853" s="2360"/>
      <c r="AB853" s="2360"/>
      <c r="AC853" s="236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8">
        <f>SUM(AZ821:AZ849)</f>
        <v>0</v>
      </c>
      <c r="BA854" s="2358"/>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8">
        <v>141120</v>
      </c>
      <c r="X855" s="2329"/>
      <c r="Y855" s="2329"/>
      <c r="Z855" s="2329"/>
      <c r="AA855" s="2329"/>
      <c r="AB855" s="2329"/>
      <c r="AC855" s="233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52">
        <v>4.5</v>
      </c>
      <c r="U856" s="2023"/>
      <c r="V856" s="2353"/>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8">
        <v>117600</v>
      </c>
      <c r="X857" s="2329"/>
      <c r="Y857" s="2329"/>
      <c r="Z857" s="2329"/>
      <c r="AA857" s="2329"/>
      <c r="AB857" s="2329"/>
      <c r="AC857" s="233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52">
        <v>3</v>
      </c>
      <c r="U858" s="2023"/>
      <c r="V858" s="2353"/>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7" t="s">
        <v>2657</v>
      </c>
      <c r="N859" s="2148"/>
      <c r="O859" s="2148"/>
      <c r="P859" s="2148"/>
      <c r="Q859" s="2148"/>
      <c r="R859" s="2148"/>
      <c r="S859" s="2148"/>
      <c r="T859" s="2148"/>
      <c r="U859" s="2148"/>
      <c r="V859" s="2149"/>
      <c r="W859" s="2328">
        <v>61500</v>
      </c>
      <c r="X859" s="2329"/>
      <c r="Y859" s="2329"/>
      <c r="Z859" s="2329"/>
      <c r="AA859" s="2329"/>
      <c r="AB859" s="2329"/>
      <c r="AC859" s="2330"/>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7">
        <f>SUM(W855:AC859)</f>
        <v>320220</v>
      </c>
      <c r="X860" s="2218"/>
      <c r="Y860" s="2218"/>
      <c r="Z860" s="2218"/>
      <c r="AA860" s="2218"/>
      <c r="AB860" s="2218"/>
      <c r="AC860" s="2219"/>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8">
        <v>132300</v>
      </c>
      <c r="X861" s="2329"/>
      <c r="Y861" s="2329"/>
      <c r="Z861" s="2329"/>
      <c r="AA861" s="2329"/>
      <c r="AB861" s="2329"/>
      <c r="AC861" s="233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2">
        <v>14700</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2">
        <v>181100</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2">
        <v>88200</v>
      </c>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2">
        <v>3400</v>
      </c>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2">
        <v>97900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2"/>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7" t="s">
        <v>2658</v>
      </c>
      <c r="N869" s="2148"/>
      <c r="O869" s="2148"/>
      <c r="P869" s="2148"/>
      <c r="Q869" s="2148"/>
      <c r="R869" s="2148"/>
      <c r="S869" s="2148"/>
      <c r="T869" s="2148"/>
      <c r="U869" s="2148"/>
      <c r="V869" s="2149"/>
      <c r="W869" s="2002">
        <v>113500</v>
      </c>
      <c r="X869" s="2002"/>
      <c r="Y869" s="2002"/>
      <c r="Z869" s="2002"/>
      <c r="AA869" s="2002"/>
      <c r="AB869" s="2002"/>
      <c r="AC869" s="200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8">
        <f>SUM(W863:AC869)</f>
        <v>498800</v>
      </c>
      <c r="X870" s="2318"/>
      <c r="Y870" s="2318"/>
      <c r="Z870" s="2318"/>
      <c r="AA870" s="2318"/>
      <c r="AB870" s="2318"/>
      <c r="AC870" s="231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007" t="s">
        <v>2659</v>
      </c>
      <c r="N872" s="2148"/>
      <c r="O872" s="2148"/>
      <c r="P872" s="2148"/>
      <c r="Q872" s="2148"/>
      <c r="R872" s="2148"/>
      <c r="S872" s="2148"/>
      <c r="T872" s="2148"/>
      <c r="U872" s="2148"/>
      <c r="V872" s="2149"/>
      <c r="W872" s="1982">
        <v>350</v>
      </c>
      <c r="X872" s="1983"/>
      <c r="Y872" s="1983"/>
      <c r="Z872" s="1983"/>
      <c r="AA872" s="1983"/>
      <c r="AB872" s="1983"/>
      <c r="AC872" s="198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007" t="s">
        <v>2660</v>
      </c>
      <c r="N873" s="2148"/>
      <c r="O873" s="2148"/>
      <c r="P873" s="2148"/>
      <c r="Q873" s="2148"/>
      <c r="R873" s="2148"/>
      <c r="S873" s="2148"/>
      <c r="T873" s="2148"/>
      <c r="U873" s="2148"/>
      <c r="V873" s="2149"/>
      <c r="W873" s="1982">
        <v>800</v>
      </c>
      <c r="X873" s="1983"/>
      <c r="Y873" s="1983"/>
      <c r="Z873" s="1983"/>
      <c r="AA873" s="1983"/>
      <c r="AB873" s="1983"/>
      <c r="AC873" s="198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6" t="s">
        <v>343</v>
      </c>
      <c r="N874" s="2148"/>
      <c r="O874" s="2148"/>
      <c r="P874" s="2148"/>
      <c r="Q874" s="2148"/>
      <c r="R874" s="2148"/>
      <c r="S874" s="2148"/>
      <c r="T874" s="2148"/>
      <c r="U874" s="2148"/>
      <c r="V874" s="2149"/>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6" t="s">
        <v>343</v>
      </c>
      <c r="N875" s="2148"/>
      <c r="O875" s="2148"/>
      <c r="P875" s="2148"/>
      <c r="Q875" s="2148"/>
      <c r="R875" s="2148"/>
      <c r="S875" s="2148"/>
      <c r="T875" s="2148"/>
      <c r="U875" s="2148"/>
      <c r="V875" s="2149"/>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6" t="s">
        <v>343</v>
      </c>
      <c r="N876" s="2148"/>
      <c r="O876" s="2148"/>
      <c r="P876" s="2148"/>
      <c r="Q876" s="2148"/>
      <c r="R876" s="2148"/>
      <c r="S876" s="2148"/>
      <c r="T876" s="2148"/>
      <c r="U876" s="2148"/>
      <c r="V876" s="2149"/>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1">
        <f>SUM(W872:AC876)</f>
        <v>1150</v>
      </c>
      <c r="X877" s="2292"/>
      <c r="Y877" s="2292"/>
      <c r="Z877" s="2292"/>
      <c r="AA877" s="2292"/>
      <c r="AB877" s="2292"/>
      <c r="AC877" s="22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2">
        <f>W845+W853+W860+W861+W870+W877+W847</f>
        <v>1413240</v>
      </c>
      <c r="AD881" s="2292"/>
      <c r="AE881" s="2292"/>
      <c r="AF881" s="2292"/>
      <c r="AG881" s="2292"/>
      <c r="AH881" s="22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0">
        <f>O796+O776+G753</f>
        <v>294</v>
      </c>
      <c r="AD882" s="2350"/>
      <c r="AE882" s="2350"/>
      <c r="AF882" s="2350"/>
      <c r="AG882" s="2350"/>
      <c r="AH882" s="23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48" t="s">
        <v>33</v>
      </c>
      <c r="F883" s="2348"/>
      <c r="G883" s="2348"/>
      <c r="H883" s="2348"/>
      <c r="I883" s="2348"/>
      <c r="J883" s="2348"/>
      <c r="K883" s="2348"/>
      <c r="L883" s="2348"/>
      <c r="M883" s="2348"/>
      <c r="N883" s="2348"/>
      <c r="O883" s="2348"/>
      <c r="P883" s="2348"/>
      <c r="Q883" s="2348"/>
      <c r="R883" s="2348"/>
      <c r="S883" s="2348"/>
      <c r="T883" s="2348"/>
      <c r="U883" s="2348"/>
      <c r="V883" s="2348"/>
      <c r="W883" s="2348"/>
      <c r="X883" s="2348"/>
      <c r="Y883" s="2348"/>
      <c r="Z883" s="2348"/>
      <c r="AA883" s="2348"/>
      <c r="AB883" s="2349"/>
      <c r="AC883" s="2318">
        <f>IF(ISERROR((ROUNDDOWN(AC881/AC882,0))),0,(ROUNDDOWN(AC881/AC882,0)))</f>
        <v>4806</v>
      </c>
      <c r="AD883" s="2318"/>
      <c r="AE883" s="2318"/>
      <c r="AF883" s="2318"/>
      <c r="AG883" s="2318"/>
      <c r="AH883" s="231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3">
        <v>819939</v>
      </c>
      <c r="AD884" s="2364"/>
      <c r="AE884" s="2364"/>
      <c r="AF884" s="2364"/>
      <c r="AG884" s="2364"/>
      <c r="AH884" s="236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84"/>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3">
        <v>32000</v>
      </c>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3">
        <v>73500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14"/>
      <c r="AD888" s="2015"/>
      <c r="AE888" s="2015"/>
      <c r="AF888" s="2015"/>
      <c r="AG888" s="2015"/>
      <c r="AH888" s="20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3">
        <v>7300</v>
      </c>
      <c r="AD889" s="1983"/>
      <c r="AE889" s="1983"/>
      <c r="AF889" s="1983"/>
      <c r="AG889" s="1983"/>
      <c r="AH889" s="198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83">
        <v>427000</v>
      </c>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98" t="s">
        <v>2661</v>
      </c>
      <c r="D891" s="2499"/>
      <c r="E891" s="2499"/>
      <c r="F891" s="2499"/>
      <c r="G891" s="2499"/>
      <c r="H891" s="2499"/>
      <c r="I891" s="2499"/>
      <c r="J891" s="2499"/>
      <c r="K891" s="2499"/>
      <c r="L891" s="2499"/>
      <c r="M891" s="2499"/>
      <c r="N891" s="2499"/>
      <c r="O891" s="2499"/>
      <c r="P891" s="2499"/>
      <c r="Q891" s="2499"/>
      <c r="R891" s="2499"/>
      <c r="S891" s="2499"/>
      <c r="T891" s="2499"/>
      <c r="U891" s="2499"/>
      <c r="V891" s="2499"/>
      <c r="W891" s="2499"/>
      <c r="X891" s="2499"/>
      <c r="Y891" s="2499"/>
      <c r="Z891" s="2499"/>
      <c r="AA891" s="2499"/>
      <c r="AB891" s="2500"/>
      <c r="AC891" s="2002">
        <v>5000</v>
      </c>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498" t="s">
        <v>1035</v>
      </c>
      <c r="D892" s="2499"/>
      <c r="E892" s="2499"/>
      <c r="F892" s="2499"/>
      <c r="G892" s="2499"/>
      <c r="H892" s="2499"/>
      <c r="I892" s="2499"/>
      <c r="J892" s="2499"/>
      <c r="K892" s="2499"/>
      <c r="L892" s="2499"/>
      <c r="M892" s="2499"/>
      <c r="N892" s="2499"/>
      <c r="O892" s="2499"/>
      <c r="P892" s="2499"/>
      <c r="Q892" s="2499"/>
      <c r="R892" s="2499"/>
      <c r="S892" s="2499"/>
      <c r="T892" s="2499"/>
      <c r="U892" s="2499"/>
      <c r="V892" s="2499"/>
      <c r="W892" s="2499"/>
      <c r="X892" s="2499"/>
      <c r="Y892" s="2499"/>
      <c r="Z892" s="2499"/>
      <c r="AA892" s="2499"/>
      <c r="AB892" s="2500"/>
      <c r="AC892" s="2002"/>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2"/>
      <c r="AA896" s="1983"/>
      <c r="AB896" s="1983"/>
      <c r="AC896" s="1983"/>
      <c r="AD896" s="1983"/>
      <c r="AE896" s="198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1">
        <f>Z896-(Z897+Z898)</f>
        <v>0</v>
      </c>
      <c r="AA899" s="2292"/>
      <c r="AB899" s="2292"/>
      <c r="AC899" s="2292"/>
      <c r="AD899" s="2292"/>
      <c r="AE899" s="2293"/>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5"/>
      <c r="BE901" s="2355"/>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2"/>
      <c r="BE902" s="236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9"/>
      <c r="BE903" s="2279"/>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9"/>
      <c r="BE904" s="2279"/>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9"/>
      <c r="BE905" s="2279"/>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5"/>
      <c r="BE906" s="2279"/>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7" t="s">
        <v>101</v>
      </c>
      <c r="B907" s="2337"/>
      <c r="C907" s="2337"/>
      <c r="D907" s="2337"/>
      <c r="E907" s="2337"/>
      <c r="F907" s="2337"/>
      <c r="G907" s="2337"/>
      <c r="H907" s="2337"/>
      <c r="I907" s="2337"/>
      <c r="J907" s="2337"/>
      <c r="K907" s="2337"/>
      <c r="L907" s="2337"/>
      <c r="M907" s="2337"/>
      <c r="N907" s="2337"/>
      <c r="O907" s="2337"/>
      <c r="P907" s="2337"/>
      <c r="Q907" s="2337"/>
      <c r="R907" s="2337"/>
      <c r="S907" s="2337"/>
      <c r="T907" s="2337"/>
      <c r="U907" s="2337"/>
      <c r="V907" s="2337"/>
      <c r="W907" s="2337"/>
      <c r="X907" s="2337"/>
      <c r="Y907" s="2337"/>
      <c r="Z907" s="2337"/>
      <c r="AA907" s="2337"/>
      <c r="AB907" s="2337"/>
      <c r="AC907" s="2337"/>
      <c r="AD907" s="2337"/>
      <c r="AE907" s="2337"/>
      <c r="AF907" s="2337"/>
      <c r="AG907" s="2337"/>
      <c r="AH907" s="2337"/>
      <c r="AI907" s="2337"/>
      <c r="AJ907" s="2337"/>
      <c r="AK907" s="2337"/>
      <c r="AL907" s="2337"/>
      <c r="AM907" s="144"/>
      <c r="AN907" s="144"/>
      <c r="AO907" s="144"/>
      <c r="AP907" s="144"/>
      <c r="AQ907" s="144"/>
      <c r="AR907" s="144"/>
      <c r="AS907" s="144"/>
      <c r="AT907" s="144"/>
      <c r="AU907" s="144"/>
      <c r="AV907" s="144"/>
      <c r="AW907" s="144"/>
      <c r="AX907" s="144"/>
      <c r="AY907" s="144"/>
      <c r="AZ907" s="61"/>
      <c r="BA907" s="25"/>
      <c r="BB907" s="127"/>
      <c r="BC907" s="1511"/>
      <c r="BD907" s="2361"/>
      <c r="BE907" s="2361"/>
      <c r="BF907" s="2361"/>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38"/>
      <c r="B908" s="2338"/>
      <c r="C908" s="2338"/>
      <c r="D908" s="2338"/>
      <c r="E908" s="2338"/>
      <c r="F908" s="2338"/>
      <c r="G908" s="2338"/>
      <c r="H908" s="2338"/>
      <c r="I908" s="2338"/>
      <c r="J908" s="2338"/>
      <c r="K908" s="2338"/>
      <c r="L908" s="2338"/>
      <c r="M908" s="2338"/>
      <c r="N908" s="2338"/>
      <c r="O908" s="2338"/>
      <c r="P908" s="2338"/>
      <c r="Q908" s="2338"/>
      <c r="R908" s="2338"/>
      <c r="S908" s="2338"/>
      <c r="T908" s="2338"/>
      <c r="U908" s="2338"/>
      <c r="V908" s="2338"/>
      <c r="W908" s="2338"/>
      <c r="X908" s="2338"/>
      <c r="Y908" s="2338"/>
      <c r="Z908" s="2338"/>
      <c r="AA908" s="2338"/>
      <c r="AB908" s="2338"/>
      <c r="AC908" s="2338"/>
      <c r="AD908" s="2338"/>
      <c r="AE908" s="2338"/>
      <c r="AF908" s="2338"/>
      <c r="AG908" s="2338"/>
      <c r="AH908" s="2338"/>
      <c r="AI908" s="2338"/>
      <c r="AJ908" s="2338"/>
      <c r="AK908" s="2338"/>
      <c r="AL908" s="2338"/>
      <c r="AM908" s="144"/>
      <c r="AN908" s="144"/>
      <c r="AO908" s="144"/>
      <c r="AP908" s="144"/>
      <c r="AQ908" s="144"/>
      <c r="AR908" s="144"/>
      <c r="AS908" s="144"/>
      <c r="AT908" s="144"/>
      <c r="AU908" s="144"/>
      <c r="AV908" s="144"/>
      <c r="AW908" s="144"/>
      <c r="AX908" s="144"/>
      <c r="AY908" s="144"/>
      <c r="AZ908" s="61"/>
      <c r="BA908" s="25"/>
      <c r="BB908" s="127"/>
      <c r="BC908" s="1511"/>
      <c r="BD908" s="2357"/>
      <c r="BE908" s="2357"/>
      <c r="BF908" s="2357"/>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9"/>
      <c r="BE909" s="2279"/>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5"/>
      <c r="BE910" s="2279"/>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1" t="s">
        <v>850</v>
      </c>
      <c r="G912" s="2172"/>
      <c r="H912" s="2172"/>
      <c r="I912" s="2172"/>
      <c r="J912" s="2172"/>
      <c r="K912" s="2172"/>
      <c r="L912" s="2172"/>
      <c r="M912" s="2172"/>
      <c r="N912" s="2172"/>
      <c r="O912" s="2172"/>
      <c r="P912" s="2172"/>
      <c r="Q912" s="2172"/>
      <c r="R912" s="2172"/>
      <c r="S912" s="2172"/>
      <c r="T912" s="2173"/>
      <c r="U912" s="2025" t="s">
        <v>32</v>
      </c>
      <c r="V912" s="2026"/>
      <c r="W912" s="2026"/>
      <c r="X912" s="2026"/>
      <c r="Y912" s="2026"/>
      <c r="Z912" s="2026"/>
      <c r="AA912" s="73"/>
      <c r="AB912" s="161"/>
      <c r="AC912" s="161"/>
      <c r="AD912" s="161"/>
      <c r="AE912" s="161"/>
      <c r="AF912" s="162"/>
      <c r="AZ912" s="61"/>
      <c r="BA912" s="1510"/>
      <c r="BB912" s="127"/>
      <c r="BC912" s="127"/>
      <c r="BD912" s="2355"/>
      <c r="BE912" s="2279"/>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28" t="s">
        <v>879</v>
      </c>
      <c r="G913" s="2029"/>
      <c r="H913" s="2029"/>
      <c r="I913" s="2029"/>
      <c r="J913" s="2029"/>
      <c r="K913" s="2029"/>
      <c r="L913" s="2029"/>
      <c r="M913" s="2029"/>
      <c r="N913" s="2029"/>
      <c r="O913" s="2029"/>
      <c r="P913" s="2029"/>
      <c r="Q913" s="2029"/>
      <c r="R913" s="2029"/>
      <c r="S913" s="2029"/>
      <c r="T913" s="2030"/>
      <c r="U913" s="2028"/>
      <c r="V913" s="2029"/>
      <c r="W913" s="2029"/>
      <c r="X913" s="2029"/>
      <c r="Y913" s="2029"/>
      <c r="Z913" s="2029"/>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1"/>
      <c r="G914" s="2032"/>
      <c r="H914" s="2032"/>
      <c r="I914" s="2032"/>
      <c r="J914" s="2032"/>
      <c r="K914" s="2032"/>
      <c r="L914" s="2032"/>
      <c r="M914" s="2032"/>
      <c r="N914" s="2032"/>
      <c r="O914" s="2032"/>
      <c r="P914" s="2032"/>
      <c r="Q914" s="2032"/>
      <c r="R914" s="2032"/>
      <c r="S914" s="2032"/>
      <c r="T914" s="2033"/>
      <c r="U914" s="2031"/>
      <c r="V914" s="2032"/>
      <c r="W914" s="2032"/>
      <c r="X914" s="2032"/>
      <c r="Y914" s="2032"/>
      <c r="Z914" s="2032"/>
      <c r="AA914" s="164"/>
      <c r="AB914" s="2356" t="s">
        <v>410</v>
      </c>
      <c r="AC914" s="2356"/>
      <c r="AD914" s="2356"/>
      <c r="AE914" s="2356"/>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6" t="s">
        <v>578</v>
      </c>
      <c r="V915" s="2157"/>
      <c r="W915" s="2157"/>
      <c r="X915" s="2157"/>
      <c r="Y915" s="2157"/>
      <c r="Z915" s="2158"/>
      <c r="AA915" s="2162">
        <v>57000000</v>
      </c>
      <c r="AB915" s="2163"/>
      <c r="AC915" s="2163"/>
      <c r="AD915" s="2163"/>
      <c r="AE915" s="2163"/>
      <c r="AF915" s="21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6" t="s">
        <v>578</v>
      </c>
      <c r="V916" s="2157"/>
      <c r="W916" s="2157"/>
      <c r="X916" s="2157"/>
      <c r="Y916" s="2157"/>
      <c r="Z916" s="2158"/>
      <c r="AA916" s="2162">
        <v>30000000</v>
      </c>
      <c r="AB916" s="2163"/>
      <c r="AC916" s="2163"/>
      <c r="AD916" s="2163"/>
      <c r="AE916" s="2163"/>
      <c r="AF916" s="21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6" t="s">
        <v>626</v>
      </c>
      <c r="V917" s="2157"/>
      <c r="W917" s="2157"/>
      <c r="X917" s="2157"/>
      <c r="Y917" s="2157"/>
      <c r="Z917" s="2158"/>
      <c r="AA917" s="2162"/>
      <c r="AB917" s="2163"/>
      <c r="AC917" s="2163"/>
      <c r="AD917" s="2163"/>
      <c r="AE917" s="2163"/>
      <c r="AF917" s="21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6" t="s">
        <v>626</v>
      </c>
      <c r="V918" s="2157"/>
      <c r="W918" s="2157"/>
      <c r="X918" s="2157"/>
      <c r="Y918" s="2157"/>
      <c r="Z918" s="2158"/>
      <c r="AA918" s="2162"/>
      <c r="AB918" s="2163"/>
      <c r="AC918" s="2163"/>
      <c r="AD918" s="2163"/>
      <c r="AE918" s="2163"/>
      <c r="AF918" s="21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6" t="s">
        <v>626</v>
      </c>
      <c r="V919" s="2157"/>
      <c r="W919" s="2157"/>
      <c r="X919" s="2157"/>
      <c r="Y919" s="2157"/>
      <c r="Z919" s="2158"/>
      <c r="AA919" s="2162"/>
      <c r="AB919" s="2163"/>
      <c r="AC919" s="2163"/>
      <c r="AD919" s="2163"/>
      <c r="AE919" s="2163"/>
      <c r="AF919" s="21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6" t="s">
        <v>626</v>
      </c>
      <c r="V920" s="2157"/>
      <c r="W920" s="2157"/>
      <c r="X920" s="2157"/>
      <c r="Y920" s="2157"/>
      <c r="Z920" s="2158"/>
      <c r="AA920" s="2162"/>
      <c r="AB920" s="2163"/>
      <c r="AC920" s="2163"/>
      <c r="AD920" s="2163"/>
      <c r="AE920" s="2163"/>
      <c r="AF920" s="21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6" t="s">
        <v>626</v>
      </c>
      <c r="V921" s="2157"/>
      <c r="W921" s="2157"/>
      <c r="X921" s="2157"/>
      <c r="Y921" s="2157"/>
      <c r="Z921" s="2158"/>
      <c r="AA921" s="2162"/>
      <c r="AB921" s="2163"/>
      <c r="AC921" s="2163"/>
      <c r="AD921" s="2163"/>
      <c r="AE921" s="2163"/>
      <c r="AF921" s="21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6" t="s">
        <v>626</v>
      </c>
      <c r="V922" s="2157"/>
      <c r="W922" s="2157"/>
      <c r="X922" s="2157"/>
      <c r="Y922" s="2157"/>
      <c r="Z922" s="2158"/>
      <c r="AA922" s="2162"/>
      <c r="AB922" s="2163"/>
      <c r="AC922" s="2163"/>
      <c r="AD922" s="2163"/>
      <c r="AE922" s="2163"/>
      <c r="AF922" s="21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6" t="s">
        <v>626</v>
      </c>
      <c r="V923" s="2157"/>
      <c r="W923" s="2157"/>
      <c r="X923" s="2157"/>
      <c r="Y923" s="2157"/>
      <c r="Z923" s="2158"/>
      <c r="AA923" s="2162"/>
      <c r="AB923" s="2163"/>
      <c r="AC923" s="2163"/>
      <c r="AD923" s="2163"/>
      <c r="AE923" s="2163"/>
      <c r="AF923" s="21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6" t="s">
        <v>626</v>
      </c>
      <c r="V924" s="2157"/>
      <c r="W924" s="2157"/>
      <c r="X924" s="2157"/>
      <c r="Y924" s="2157"/>
      <c r="Z924" s="2158"/>
      <c r="AA924" s="2162"/>
      <c r="AB924" s="2163"/>
      <c r="AC924" s="2163"/>
      <c r="AD924" s="2163"/>
      <c r="AE924" s="2163"/>
      <c r="AF924" s="21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56" t="s">
        <v>626</v>
      </c>
      <c r="V925" s="2157"/>
      <c r="W925" s="2157"/>
      <c r="X925" s="2157"/>
      <c r="Y925" s="2157"/>
      <c r="Z925" s="2158"/>
      <c r="AA925" s="2162"/>
      <c r="AB925" s="2163"/>
      <c r="AC925" s="2163"/>
      <c r="AD925" s="2163"/>
      <c r="AE925" s="2163"/>
      <c r="AF925" s="21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6" t="s">
        <v>626</v>
      </c>
      <c r="V926" s="2157"/>
      <c r="W926" s="2157"/>
      <c r="X926" s="2157"/>
      <c r="Y926" s="2157"/>
      <c r="Z926" s="2158"/>
      <c r="AA926" s="2162"/>
      <c r="AB926" s="2163"/>
      <c r="AC926" s="2163"/>
      <c r="AD926" s="2163"/>
      <c r="AE926" s="2163"/>
      <c r="AF926" s="21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6" t="s">
        <v>626</v>
      </c>
      <c r="V927" s="2157"/>
      <c r="W927" s="2157"/>
      <c r="X927" s="2157"/>
      <c r="Y927" s="2157"/>
      <c r="Z927" s="2158"/>
      <c r="AA927" s="2162"/>
      <c r="AB927" s="2163"/>
      <c r="AC927" s="2163"/>
      <c r="AD927" s="2163"/>
      <c r="AE927" s="2163"/>
      <c r="AF927" s="21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56" t="s">
        <v>626</v>
      </c>
      <c r="V928" s="2157"/>
      <c r="W928" s="2157"/>
      <c r="X928" s="2157"/>
      <c r="Y928" s="2157"/>
      <c r="Z928" s="2158"/>
      <c r="AA928" s="2162"/>
      <c r="AB928" s="2163"/>
      <c r="AC928" s="2163"/>
      <c r="AD928" s="2163"/>
      <c r="AE928" s="2163"/>
      <c r="AF928" s="21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56" t="s">
        <v>626</v>
      </c>
      <c r="V929" s="2157"/>
      <c r="W929" s="2157"/>
      <c r="X929" s="2157"/>
      <c r="Y929" s="2157"/>
      <c r="Z929" s="2158"/>
      <c r="AA929" s="2162"/>
      <c r="AB929" s="2163"/>
      <c r="AC929" s="2163"/>
      <c r="AD929" s="2163"/>
      <c r="AE929" s="2163"/>
      <c r="AF929" s="21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6" t="s">
        <v>706</v>
      </c>
      <c r="Q930" s="2157"/>
      <c r="R930" s="2157"/>
      <c r="S930" s="2157"/>
      <c r="T930" s="2158"/>
      <c r="U930" s="2156" t="s">
        <v>626</v>
      </c>
      <c r="V930" s="2157"/>
      <c r="W930" s="2157"/>
      <c r="X930" s="2157"/>
      <c r="Y930" s="2157"/>
      <c r="Z930" s="2158"/>
      <c r="AA930" s="2162"/>
      <c r="AB930" s="2163"/>
      <c r="AC930" s="2163"/>
      <c r="AD930" s="2163"/>
      <c r="AE930" s="2163"/>
      <c r="AF930" s="21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8" t="s">
        <v>343</v>
      </c>
      <c r="J931" s="2169"/>
      <c r="K931" s="2169"/>
      <c r="L931" s="2169"/>
      <c r="M931" s="2169"/>
      <c r="N931" s="2169"/>
      <c r="O931" s="2169"/>
      <c r="P931" s="2169"/>
      <c r="Q931" s="2169"/>
      <c r="R931" s="2169"/>
      <c r="S931" s="2169"/>
      <c r="T931" s="2170"/>
      <c r="U931" s="2156" t="s">
        <v>626</v>
      </c>
      <c r="V931" s="2157"/>
      <c r="W931" s="2157"/>
      <c r="X931" s="2157"/>
      <c r="Y931" s="2157"/>
      <c r="Z931" s="2158"/>
      <c r="AA931" s="2162"/>
      <c r="AB931" s="2163"/>
      <c r="AC931" s="2163"/>
      <c r="AD931" s="2163"/>
      <c r="AE931" s="2163"/>
      <c r="AF931" s="21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8" t="s">
        <v>2632</v>
      </c>
      <c r="J932" s="2174"/>
      <c r="K932" s="2174"/>
      <c r="L932" s="2174"/>
      <c r="M932" s="2174"/>
      <c r="N932" s="2174"/>
      <c r="O932" s="2174"/>
      <c r="P932" s="2174"/>
      <c r="Q932" s="2174"/>
      <c r="R932" s="2174"/>
      <c r="S932" s="2174"/>
      <c r="T932" s="2175"/>
      <c r="U932" s="2156" t="s">
        <v>578</v>
      </c>
      <c r="V932" s="2157"/>
      <c r="W932" s="2157"/>
      <c r="X932" s="2157"/>
      <c r="Y932" s="2157"/>
      <c r="Z932" s="2158"/>
      <c r="AA932" s="2162">
        <v>6000000</v>
      </c>
      <c r="AB932" s="2163"/>
      <c r="AC932" s="2163"/>
      <c r="AD932" s="2163"/>
      <c r="AE932" s="2163"/>
      <c r="AF932" s="21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4" t="s">
        <v>343</v>
      </c>
      <c r="J933" s="2174"/>
      <c r="K933" s="2174"/>
      <c r="L933" s="2174"/>
      <c r="M933" s="2174"/>
      <c r="N933" s="2174"/>
      <c r="O933" s="2174"/>
      <c r="P933" s="2174"/>
      <c r="Q933" s="2174"/>
      <c r="R933" s="2174"/>
      <c r="S933" s="2174"/>
      <c r="T933" s="2175"/>
      <c r="U933" s="2156" t="s">
        <v>626</v>
      </c>
      <c r="V933" s="2157"/>
      <c r="W933" s="2157"/>
      <c r="X933" s="2157"/>
      <c r="Y933" s="2157"/>
      <c r="Z933" s="2158"/>
      <c r="AA933" s="2162"/>
      <c r="AB933" s="2163"/>
      <c r="AC933" s="2163"/>
      <c r="AD933" s="2163"/>
      <c r="AE933" s="2163"/>
      <c r="AF933" s="21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4" t="s">
        <v>343</v>
      </c>
      <c r="J934" s="2174"/>
      <c r="K934" s="2174"/>
      <c r="L934" s="2174"/>
      <c r="M934" s="2174"/>
      <c r="N934" s="2174"/>
      <c r="O934" s="2174"/>
      <c r="P934" s="2174"/>
      <c r="Q934" s="2174"/>
      <c r="R934" s="2174"/>
      <c r="S934" s="2174"/>
      <c r="T934" s="2175"/>
      <c r="U934" s="2156" t="s">
        <v>626</v>
      </c>
      <c r="V934" s="2157"/>
      <c r="W934" s="2157"/>
      <c r="X934" s="2157"/>
      <c r="Y934" s="2157"/>
      <c r="Z934" s="2158"/>
      <c r="AA934" s="2162"/>
      <c r="AB934" s="2163"/>
      <c r="AC934" s="2163"/>
      <c r="AD934" s="2163"/>
      <c r="AE934" s="2163"/>
      <c r="AF934" s="21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5"/>
      <c r="N939" s="2178"/>
      <c r="O939" s="2178"/>
      <c r="P939" s="2178"/>
      <c r="Q939" s="2178"/>
      <c r="R939" s="2178"/>
      <c r="S939" s="2179"/>
      <c r="U939" s="103" t="s">
        <v>11</v>
      </c>
      <c r="V939" s="77"/>
      <c r="W939" s="77"/>
      <c r="X939" s="77"/>
      <c r="Y939" s="77"/>
      <c r="Z939" s="77"/>
      <c r="AA939" s="77"/>
      <c r="AB939" s="77"/>
      <c r="AC939" s="77"/>
      <c r="AD939" s="78"/>
      <c r="AE939" s="2325"/>
      <c r="AF939" s="2178"/>
      <c r="AG939" s="2178"/>
      <c r="AH939" s="2178"/>
      <c r="AI939" s="2178"/>
      <c r="AJ939" s="2178"/>
      <c r="AK939" s="217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0"/>
      <c r="N940" s="2321"/>
      <c r="O940" s="2321"/>
      <c r="P940" s="2321"/>
      <c r="Q940" s="2321"/>
      <c r="R940" s="2321"/>
      <c r="S940" s="2322"/>
      <c r="U940" s="103" t="s">
        <v>12</v>
      </c>
      <c r="V940" s="77"/>
      <c r="W940" s="77"/>
      <c r="X940" s="77"/>
      <c r="Y940" s="77"/>
      <c r="Z940" s="77"/>
      <c r="AA940" s="77"/>
      <c r="AB940" s="77"/>
      <c r="AC940" s="77"/>
      <c r="AD940" s="78"/>
      <c r="AE940" s="2320"/>
      <c r="AF940" s="2321"/>
      <c r="AG940" s="2321"/>
      <c r="AH940" s="2321"/>
      <c r="AI940" s="2321"/>
      <c r="AJ940" s="2321"/>
      <c r="AK940" s="23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4" t="s">
        <v>316</v>
      </c>
      <c r="K941" s="2335"/>
      <c r="L941" s="2335"/>
      <c r="M941" s="2335"/>
      <c r="N941" s="2335"/>
      <c r="O941" s="2335"/>
      <c r="P941" s="2335"/>
      <c r="Q941" s="2335"/>
      <c r="R941" s="2335"/>
      <c r="S941" s="2336"/>
      <c r="U941" s="103" t="s">
        <v>945</v>
      </c>
      <c r="V941" s="77"/>
      <c r="W941" s="77"/>
      <c r="AB941" s="2334" t="s">
        <v>316</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3"/>
      <c r="N942" s="2154"/>
      <c r="O942" s="2154"/>
      <c r="P942" s="2154"/>
      <c r="Q942" s="2154"/>
      <c r="R942" s="2154"/>
      <c r="S942" s="2155"/>
      <c r="U942" s="103" t="s">
        <v>13</v>
      </c>
      <c r="V942" s="77"/>
      <c r="W942" s="77"/>
      <c r="X942" s="77"/>
      <c r="Y942" s="77"/>
      <c r="Z942" s="77"/>
      <c r="AA942" s="77"/>
      <c r="AB942" s="77"/>
      <c r="AC942" s="77"/>
      <c r="AD942" s="78"/>
      <c r="AE942" s="2354"/>
      <c r="AF942" s="2154"/>
      <c r="AG942" s="2154"/>
      <c r="AH942" s="2154"/>
      <c r="AI942" s="2154"/>
      <c r="AJ942" s="2154"/>
      <c r="AK942" s="215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1"/>
      <c r="N943" s="2332"/>
      <c r="O943" s="2332"/>
      <c r="P943" s="2332"/>
      <c r="Q943" s="2332"/>
      <c r="R943" s="2332"/>
      <c r="S943" s="2333"/>
      <c r="U943" s="103" t="s">
        <v>14</v>
      </c>
      <c r="V943" s="77"/>
      <c r="W943" s="77"/>
      <c r="X943" s="77"/>
      <c r="Y943" s="77"/>
      <c r="Z943" s="77"/>
      <c r="AA943" s="77"/>
      <c r="AB943" s="77"/>
      <c r="AC943" s="77"/>
      <c r="AD943" s="78"/>
      <c r="AE943" s="2331"/>
      <c r="AF943" s="2332"/>
      <c r="AG943" s="2332"/>
      <c r="AH943" s="2332"/>
      <c r="AI943" s="2332"/>
      <c r="AJ943" s="2332"/>
      <c r="AK943" s="233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2"/>
      <c r="N944" s="2163"/>
      <c r="O944" s="2163"/>
      <c r="P944" s="2163"/>
      <c r="Q944" s="2163"/>
      <c r="R944" s="2163"/>
      <c r="S944" s="2164"/>
      <c r="U944" s="103" t="s">
        <v>15</v>
      </c>
      <c r="V944" s="77"/>
      <c r="W944" s="77"/>
      <c r="X944" s="77"/>
      <c r="Y944" s="77"/>
      <c r="Z944" s="77"/>
      <c r="AA944" s="77"/>
      <c r="AB944" s="77"/>
      <c r="AC944" s="77"/>
      <c r="AD944" s="78"/>
      <c r="AE944" s="2162"/>
      <c r="AF944" s="2163"/>
      <c r="AG944" s="2163"/>
      <c r="AH944" s="2163"/>
      <c r="AI944" s="2163"/>
      <c r="AJ944" s="2163"/>
      <c r="AK944" s="216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2"/>
      <c r="N945" s="2163"/>
      <c r="O945" s="2163"/>
      <c r="P945" s="2163"/>
      <c r="Q945" s="2163"/>
      <c r="R945" s="2163"/>
      <c r="S945" s="2164"/>
      <c r="U945" s="103" t="s">
        <v>16</v>
      </c>
      <c r="V945" s="77"/>
      <c r="W945" s="77"/>
      <c r="X945" s="77"/>
      <c r="Y945" s="77"/>
      <c r="Z945" s="77"/>
      <c r="AA945" s="77"/>
      <c r="AB945" s="77"/>
      <c r="AC945" s="77"/>
      <c r="AD945" s="78"/>
      <c r="AE945" s="2162"/>
      <c r="AF945" s="2163"/>
      <c r="AG945" s="2163"/>
      <c r="AH945" s="2163"/>
      <c r="AI945" s="2163"/>
      <c r="AJ945" s="2163"/>
      <c r="AK945" s="216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4"/>
      <c r="N946" s="2045"/>
      <c r="O946" s="2045"/>
      <c r="P946" s="2045"/>
      <c r="Q946" s="2045"/>
      <c r="R946" s="2045"/>
      <c r="S946" s="2046"/>
      <c r="U946" s="103" t="s">
        <v>605</v>
      </c>
      <c r="V946" s="77"/>
      <c r="W946" s="77"/>
      <c r="X946" s="77"/>
      <c r="Y946" s="77"/>
      <c r="Z946" s="77"/>
      <c r="AA946" s="77"/>
      <c r="AB946" s="77"/>
      <c r="AC946" s="77"/>
      <c r="AD946" s="78"/>
      <c r="AE946" s="2044"/>
      <c r="AF946" s="2045"/>
      <c r="AG946" s="2045"/>
      <c r="AH946" s="2045"/>
      <c r="AI946" s="2045"/>
      <c r="AJ946" s="2045"/>
      <c r="AK946" s="20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5"/>
      <c r="N951" s="2146"/>
      <c r="O951" s="2146"/>
      <c r="P951" s="2146"/>
      <c r="Q951" s="2146"/>
      <c r="R951" s="2146"/>
      <c r="S951" s="2147"/>
      <c r="T951" s="103" t="s">
        <v>848</v>
      </c>
      <c r="U951" s="77"/>
      <c r="V951" s="77"/>
      <c r="W951" s="77"/>
      <c r="X951" s="77"/>
      <c r="Y951" s="77"/>
      <c r="Z951" s="78"/>
      <c r="AA951" s="2145"/>
      <c r="AB951" s="2146"/>
      <c r="AC951" s="2146"/>
      <c r="AD951" s="2146"/>
      <c r="AE951" s="2146"/>
      <c r="AF951" s="2146"/>
      <c r="AG951" s="214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5"/>
      <c r="N952" s="2146"/>
      <c r="O952" s="2146"/>
      <c r="P952" s="2146"/>
      <c r="Q952" s="2146"/>
      <c r="R952" s="2146"/>
      <c r="S952" s="2147"/>
      <c r="T952" s="103" t="s">
        <v>847</v>
      </c>
      <c r="U952" s="77"/>
      <c r="V952" s="77"/>
      <c r="W952" s="77"/>
      <c r="X952" s="77"/>
      <c r="Y952" s="77"/>
      <c r="Z952" s="78"/>
      <c r="AA952" s="2145"/>
      <c r="AB952" s="2146"/>
      <c r="AC952" s="2146"/>
      <c r="AD952" s="2146"/>
      <c r="AE952" s="2146"/>
      <c r="AF952" s="2146"/>
      <c r="AG952" s="214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9" t="s">
        <v>626</v>
      </c>
      <c r="N953" s="2340"/>
      <c r="O953" s="2340"/>
      <c r="P953" s="2340"/>
      <c r="Q953" s="2340"/>
      <c r="R953" s="2340"/>
      <c r="S953" s="2341"/>
      <c r="T953" s="76" t="s">
        <v>346</v>
      </c>
      <c r="U953" s="77"/>
      <c r="V953" s="77"/>
      <c r="W953" s="77"/>
      <c r="X953" s="77"/>
      <c r="Y953" s="77"/>
      <c r="Z953" s="78"/>
      <c r="AA953" s="2145"/>
      <c r="AB953" s="2146"/>
      <c r="AC953" s="2146"/>
      <c r="AD953" s="2146"/>
      <c r="AE953" s="2146"/>
      <c r="AF953" s="2146"/>
      <c r="AG953" s="214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5"/>
      <c r="N954" s="2146"/>
      <c r="O954" s="2146"/>
      <c r="P954" s="2146"/>
      <c r="Q954" s="2146"/>
      <c r="R954" s="2146"/>
      <c r="S954" s="2147"/>
      <c r="T954" s="76" t="s">
        <v>347</v>
      </c>
      <c r="U954" s="77"/>
      <c r="V954" s="77"/>
      <c r="W954" s="77"/>
      <c r="X954" s="77"/>
      <c r="Y954" s="77"/>
      <c r="Z954" s="78"/>
      <c r="AA954" s="2145"/>
      <c r="AB954" s="2146"/>
      <c r="AC954" s="2146"/>
      <c r="AD954" s="2146"/>
      <c r="AE954" s="2146"/>
      <c r="AF954" s="2146"/>
      <c r="AG954" s="214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5"/>
      <c r="N955" s="2146"/>
      <c r="O955" s="2146"/>
      <c r="P955" s="2146"/>
      <c r="Q955" s="2146"/>
      <c r="R955" s="2146"/>
      <c r="S955" s="2147"/>
      <c r="T955" s="76" t="s">
        <v>394</v>
      </c>
      <c r="U955" s="77"/>
      <c r="V955" s="77"/>
      <c r="W955" s="77"/>
      <c r="X955" s="77"/>
      <c r="Y955" s="77"/>
      <c r="Z955" s="78"/>
      <c r="AA955" s="2145"/>
      <c r="AB955" s="2146"/>
      <c r="AC955" s="2146"/>
      <c r="AD955" s="2146"/>
      <c r="AE955" s="2146"/>
      <c r="AF955" s="2146"/>
      <c r="AG955" s="214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2" t="s">
        <v>316</v>
      </c>
      <c r="N956" s="2343"/>
      <c r="O956" s="2343"/>
      <c r="P956" s="2343"/>
      <c r="Q956" s="2343"/>
      <c r="R956" s="2343"/>
      <c r="S956" s="2344"/>
      <c r="T956" s="2165"/>
      <c r="U956" s="2166"/>
      <c r="V956" s="2166"/>
      <c r="W956" s="2166"/>
      <c r="X956" s="2166"/>
      <c r="Y956" s="2166"/>
      <c r="Z956" s="2167"/>
      <c r="AA956" s="2145"/>
      <c r="AB956" s="2146"/>
      <c r="AC956" s="2146"/>
      <c r="AD956" s="2146"/>
      <c r="AE956" s="2146"/>
      <c r="AF956" s="2146"/>
      <c r="AG956" s="214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5"/>
      <c r="N957" s="2146"/>
      <c r="O957" s="2146"/>
      <c r="P957" s="2146"/>
      <c r="Q957" s="2146"/>
      <c r="R957" s="2146"/>
      <c r="S957" s="2147"/>
      <c r="T957" s="2165"/>
      <c r="U957" s="2166"/>
      <c r="V957" s="2166"/>
      <c r="W957" s="2166"/>
      <c r="X957" s="2166"/>
      <c r="Y957" s="2166"/>
      <c r="Z957" s="2167"/>
      <c r="AA957" s="2145"/>
      <c r="AB957" s="2146"/>
      <c r="AC957" s="2146"/>
      <c r="AD957" s="2146"/>
      <c r="AE957" s="2146"/>
      <c r="AF957" s="2146"/>
      <c r="AG957" s="214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6" t="s">
        <v>706</v>
      </c>
      <c r="P958" s="2327"/>
      <c r="Q958" s="139"/>
      <c r="R958" s="139"/>
      <c r="S958" s="140"/>
      <c r="T958" s="71" t="s">
        <v>175</v>
      </c>
      <c r="U958" s="72"/>
      <c r="V958" s="72"/>
      <c r="W958" s="2176" t="s">
        <v>343</v>
      </c>
      <c r="X958" s="2148"/>
      <c r="Y958" s="2148"/>
      <c r="Z958" s="2148"/>
      <c r="AA958" s="2148"/>
      <c r="AB958" s="2148"/>
      <c r="AC958" s="2148"/>
      <c r="AD958" s="2148"/>
      <c r="AE958" s="2148"/>
      <c r="AF958" s="2148"/>
      <c r="AG958" s="214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09" t="s">
        <v>34</v>
      </c>
      <c r="G959" s="2210"/>
      <c r="H959" s="2210"/>
      <c r="I959" s="2210"/>
      <c r="J959" s="2210"/>
      <c r="K959" s="2210"/>
      <c r="L959" s="2210"/>
      <c r="M959" s="2145"/>
      <c r="N959" s="2146"/>
      <c r="O959" s="2146"/>
      <c r="P959" s="2146"/>
      <c r="Q959" s="2146"/>
      <c r="R959" s="2146"/>
      <c r="S959" s="2147"/>
      <c r="T959" s="79"/>
      <c r="U959" s="80"/>
      <c r="V959" s="80"/>
      <c r="W959" s="80"/>
      <c r="X959" s="80"/>
      <c r="Y959" s="80"/>
      <c r="Z959" s="188" t="s">
        <v>139</v>
      </c>
      <c r="AA959" s="2159"/>
      <c r="AB959" s="2160"/>
      <c r="AC959" s="2160"/>
      <c r="AD959" s="2160"/>
      <c r="AE959" s="2160"/>
      <c r="AF959" s="2160"/>
      <c r="AG959" s="21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0" t="s">
        <v>581</v>
      </c>
      <c r="B963" s="2220"/>
      <c r="C963" s="2220"/>
      <c r="D963" s="2220"/>
      <c r="E963" s="2220"/>
      <c r="F963" s="2220"/>
      <c r="G963" s="2220"/>
      <c r="H963" s="2220"/>
      <c r="I963" s="2220"/>
      <c r="J963" s="2220"/>
      <c r="K963" s="2220"/>
      <c r="L963" s="2220"/>
      <c r="M963" s="2220"/>
      <c r="N963" s="2220"/>
      <c r="O963" s="2220"/>
      <c r="P963" s="2220"/>
      <c r="Q963" s="2220"/>
      <c r="R963" s="2220"/>
      <c r="S963" s="2220"/>
      <c r="T963" s="2220"/>
      <c r="U963" s="2220"/>
      <c r="V963" s="2220"/>
      <c r="W963" s="2220"/>
      <c r="X963" s="2220"/>
      <c r="Y963" s="2220"/>
      <c r="Z963" s="2220"/>
      <c r="AA963" s="2220"/>
      <c r="AB963" s="2220"/>
      <c r="AC963" s="2220"/>
      <c r="AD963" s="2220"/>
      <c r="AE963" s="2220"/>
      <c r="AF963" s="2220"/>
      <c r="AG963" s="2220"/>
      <c r="AH963" s="2220"/>
      <c r="AI963" s="2220"/>
      <c r="AJ963" s="2220"/>
      <c r="AK963" s="2220"/>
      <c r="AL963" s="2220"/>
      <c r="AM963" s="2220"/>
      <c r="AN963" s="2220"/>
      <c r="AO963" s="2220"/>
      <c r="AP963" s="2220"/>
      <c r="AQ963" s="2220"/>
      <c r="AR963" s="2220"/>
      <c r="AS963" s="22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0"/>
      <c r="B964" s="2220"/>
      <c r="C964" s="2220"/>
      <c r="D964" s="2220"/>
      <c r="E964" s="2220"/>
      <c r="F964" s="2220"/>
      <c r="G964" s="2220"/>
      <c r="H964" s="2220"/>
      <c r="I964" s="2220"/>
      <c r="J964" s="2220"/>
      <c r="K964" s="2220"/>
      <c r="L964" s="2220"/>
      <c r="M964" s="2220"/>
      <c r="N964" s="2220"/>
      <c r="O964" s="2220"/>
      <c r="P964" s="2220"/>
      <c r="Q964" s="2220"/>
      <c r="R964" s="2220"/>
      <c r="S964" s="2220"/>
      <c r="T964" s="2220"/>
      <c r="U964" s="2220"/>
      <c r="V964" s="2220"/>
      <c r="W964" s="2220"/>
      <c r="X964" s="2220"/>
      <c r="Y964" s="2220"/>
      <c r="Z964" s="2220"/>
      <c r="AA964" s="2220"/>
      <c r="AB964" s="2220"/>
      <c r="AC964" s="2220"/>
      <c r="AD964" s="2220"/>
      <c r="AE964" s="2220"/>
      <c r="AF964" s="2220"/>
      <c r="AG964" s="2220"/>
      <c r="AH964" s="2220"/>
      <c r="AI964" s="2220"/>
      <c r="AJ964" s="2220"/>
      <c r="AK964" s="2220"/>
      <c r="AL964" s="2220"/>
      <c r="AM964" s="2220"/>
      <c r="AN964" s="2220"/>
      <c r="AO964" s="2220"/>
      <c r="AP964" s="2220"/>
      <c r="AQ964" s="2220"/>
      <c r="AR964" s="2220"/>
      <c r="AS964" s="22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4"/>
      <c r="BH965" s="2294"/>
      <c r="BI965" s="2294"/>
      <c r="BJ965" s="2294"/>
      <c r="BK965" s="2294"/>
      <c r="BL965" s="2294"/>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109" t="s">
        <v>673</v>
      </c>
      <c r="E968" s="2110"/>
      <c r="F968" s="2110"/>
      <c r="G968" s="2110"/>
      <c r="H968" s="2110"/>
      <c r="I968" s="2110"/>
      <c r="J968" s="2110"/>
      <c r="K968" s="2110"/>
      <c r="L968" s="2110"/>
      <c r="M968" s="2110"/>
      <c r="N968" s="2110"/>
      <c r="O968" s="2110"/>
      <c r="P968" s="2110"/>
      <c r="Q968" s="2111"/>
      <c r="R968" s="2109" t="s">
        <v>674</v>
      </c>
      <c r="S968" s="2110"/>
      <c r="T968" s="2110"/>
      <c r="U968" s="2110"/>
      <c r="V968" s="2110"/>
      <c r="W968" s="2110"/>
      <c r="X968" s="2110"/>
      <c r="Y968" s="2110"/>
      <c r="Z968" s="2110"/>
      <c r="AA968" s="2111"/>
      <c r="AB968" s="2109" t="s">
        <v>675</v>
      </c>
      <c r="AC968" s="2110"/>
      <c r="AD968" s="2110"/>
      <c r="AE968" s="2110"/>
      <c r="AF968" s="2110"/>
      <c r="AG968" s="2110"/>
      <c r="AH968" s="2110"/>
      <c r="AI968" s="2111"/>
      <c r="AJ968" s="2109" t="s">
        <v>676</v>
      </c>
      <c r="AK968" s="2110"/>
      <c r="AL968" s="2110"/>
      <c r="AM968" s="2110"/>
      <c r="AN968" s="2110"/>
      <c r="AO968" s="2110"/>
      <c r="AP968" s="2110"/>
      <c r="AQ968" s="2111"/>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112" t="s">
        <v>668</v>
      </c>
      <c r="E969" s="2113"/>
      <c r="F969" s="2113"/>
      <c r="G969" s="2113"/>
      <c r="H969" s="2113"/>
      <c r="I969" s="2113"/>
      <c r="J969" s="2113"/>
      <c r="K969" s="2113"/>
      <c r="L969" s="2113"/>
      <c r="M969" s="2113"/>
      <c r="N969" s="2113"/>
      <c r="O969" s="2113"/>
      <c r="P969" s="2113"/>
      <c r="Q969" s="2114"/>
      <c r="R969" s="2108">
        <f>IF(ISNA(IF($BN$799="4%",(INDEX($BP$809:$BT$866,MATCH($CB$799,$BO$809:$BO$866,0),MATCH(D969,$BP$808:$BT$808,0))),(INDEX($BW$809:$CA$866,MATCH($CB$799,$BV$809:$BV$866,0),MATCH(D969,$BW$808:$CA$808,0))))),0,IF($BN$799="4%",(INDEX($BP$809:$BT$866,MATCH($CB$799,$BO$809:$BO$866,0),MATCH(D969,$BP$808:$BT$808,0))),(INDEX($BW$809:$CA$866,MATCH($CB$799,$BV$809:$BV$866,0),MATCH(D969,$BW$808:$CA$808,0)))))</f>
        <v>278397</v>
      </c>
      <c r="S969" s="2108"/>
      <c r="T969" s="2108"/>
      <c r="U969" s="2108"/>
      <c r="V969" s="2108"/>
      <c r="W969" s="2108"/>
      <c r="X969" s="2108"/>
      <c r="Y969" s="2108"/>
      <c r="Z969" s="2108"/>
      <c r="AA969" s="2108"/>
      <c r="AB969" s="2041">
        <f>BN663</f>
        <v>50</v>
      </c>
      <c r="AC969" s="2042"/>
      <c r="AD969" s="2042"/>
      <c r="AE969" s="2042"/>
      <c r="AF969" s="2042"/>
      <c r="AG969" s="2042"/>
      <c r="AH969" s="2042"/>
      <c r="AI969" s="2043"/>
      <c r="AJ969" s="2089">
        <f>IF(ISERROR((R969*AB969)),0,(R969*AB969))</f>
        <v>13919850</v>
      </c>
      <c r="AK969" s="2090"/>
      <c r="AL969" s="2090"/>
      <c r="AM969" s="2090"/>
      <c r="AN969" s="2090"/>
      <c r="AO969" s="2090"/>
      <c r="AP969" s="2090"/>
      <c r="AQ969" s="209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112" t="s">
        <v>334</v>
      </c>
      <c r="E970" s="2113"/>
      <c r="F970" s="2113"/>
      <c r="G970" s="2113"/>
      <c r="H970" s="2113"/>
      <c r="I970" s="2113"/>
      <c r="J970" s="2113"/>
      <c r="K970" s="2113"/>
      <c r="L970" s="2113"/>
      <c r="M970" s="2113"/>
      <c r="N970" s="2113"/>
      <c r="O970" s="2113"/>
      <c r="P970" s="2113"/>
      <c r="Q970" s="2114"/>
      <c r="R970" s="2108">
        <f>IF(ISNA(IF($BN$799="4%",(INDEX($BP$809:$BT$866,MATCH($CB$799,$BO$809:$BO$866,0),MATCH(D970,$BP$808:$BT$808,0))),(INDEX($BW$809:$CA$866,MATCH($CB$799,$BV$809:$BV$866,0),MATCH(D970,$BW$808:$CA$808,0))))),0,IF($BN$799="4%",(INDEX($BP$809:$BT$866,MATCH($CB$799,$BO$809:$BO$866,0),MATCH(D970,$BP$808:$BT$808,0))),(INDEX($BW$809:$CA$866,MATCH($CB$799,$BV$809:$BV$866,0),MATCH(D970,$BW$808:$CA$808,0)))))</f>
        <v>320989</v>
      </c>
      <c r="S970" s="2108"/>
      <c r="T970" s="2108"/>
      <c r="U970" s="2108"/>
      <c r="V970" s="2108"/>
      <c r="W970" s="2108"/>
      <c r="X970" s="2108"/>
      <c r="Y970" s="2108"/>
      <c r="Z970" s="2108"/>
      <c r="AA970" s="2108"/>
      <c r="AB970" s="2041">
        <f>BS663</f>
        <v>93</v>
      </c>
      <c r="AC970" s="2042"/>
      <c r="AD970" s="2042"/>
      <c r="AE970" s="2042"/>
      <c r="AF970" s="2042"/>
      <c r="AG970" s="2042"/>
      <c r="AH970" s="2042"/>
      <c r="AI970" s="2043"/>
      <c r="AJ970" s="2089">
        <f>IF(ISERROR((R970*AB970)),0,(R970*AB970))</f>
        <v>29851977</v>
      </c>
      <c r="AK970" s="2090"/>
      <c r="AL970" s="2090"/>
      <c r="AM970" s="2090"/>
      <c r="AN970" s="2090"/>
      <c r="AO970" s="2090"/>
      <c r="AP970" s="2090"/>
      <c r="AQ970" s="209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2" t="s">
        <v>168</v>
      </c>
      <c r="E971" s="2113"/>
      <c r="F971" s="2113"/>
      <c r="G971" s="2113"/>
      <c r="H971" s="2113"/>
      <c r="I971" s="2113"/>
      <c r="J971" s="2113"/>
      <c r="K971" s="2113"/>
      <c r="L971" s="2113"/>
      <c r="M971" s="2113"/>
      <c r="N971" s="2113"/>
      <c r="O971" s="2113"/>
      <c r="P971" s="2113"/>
      <c r="Q971" s="2114"/>
      <c r="R971" s="2108">
        <f>IF(ISNA(IF($BN$799="4%",(INDEX($BP$809:$BT$866,MATCH($CB$799,$BO$809:$BO$866,0),MATCH(D971,$BP$808:$BT$808,0))),(INDEX($BW$809:$CA$866,MATCH($CB$799,$BV$809:$BV$866,0),MATCH(D971,$BW$808:$CA$808,0))))),0,IF($BN$799="4%",(INDEX($BP$809:$BT$866,MATCH($CB$799,$BO$809:$BO$866,0),MATCH(D971,$BP$808:$BT$808,0))),(INDEX($BW$809:$CA$866,MATCH($CB$799,$BV$809:$BV$866,0),MATCH(D971,$BW$808:$CA$808,0)))))</f>
        <v>387200</v>
      </c>
      <c r="S971" s="2108"/>
      <c r="T971" s="2108"/>
      <c r="U971" s="2108"/>
      <c r="V971" s="2108"/>
      <c r="W971" s="2108"/>
      <c r="X971" s="2108"/>
      <c r="Y971" s="2108"/>
      <c r="Z971" s="2108"/>
      <c r="AA971" s="2108"/>
      <c r="AB971" s="2041">
        <f>BX663</f>
        <v>76</v>
      </c>
      <c r="AC971" s="2042"/>
      <c r="AD971" s="2042"/>
      <c r="AE971" s="2042"/>
      <c r="AF971" s="2042"/>
      <c r="AG971" s="2042"/>
      <c r="AH971" s="2042"/>
      <c r="AI971" s="2043"/>
      <c r="AJ971" s="2089">
        <f>IF(ISERROR((R971*AB971)),0,(R971*AB971))</f>
        <v>29427200</v>
      </c>
      <c r="AK971" s="2090"/>
      <c r="AL971" s="2090"/>
      <c r="AM971" s="2090"/>
      <c r="AN971" s="2090"/>
      <c r="AO971" s="2090"/>
      <c r="AP971" s="2090"/>
      <c r="AQ971" s="209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112" t="s">
        <v>169</v>
      </c>
      <c r="E972" s="2113"/>
      <c r="F972" s="2113"/>
      <c r="G972" s="2113"/>
      <c r="H972" s="2113"/>
      <c r="I972" s="2113"/>
      <c r="J972" s="2113"/>
      <c r="K972" s="2113"/>
      <c r="L972" s="2113"/>
      <c r="M972" s="2113"/>
      <c r="N972" s="2113"/>
      <c r="O972" s="2113"/>
      <c r="P972" s="2113"/>
      <c r="Q972" s="2114"/>
      <c r="R972" s="2108">
        <f>IF(ISNA(IF($BN$799="4%",(INDEX($BP$809:$BT$866,MATCH($CB$799,$BO$809:$BO$866,0),MATCH(D972,$BP$808:$BT$808,0))),(INDEX($BW$809:$CA$866,MATCH($CB$799,$BV$809:$BV$866,0),MATCH(D972,$BW$808:$CA$808,0))))),0,IF($BN$799="4%",(INDEX($BP$809:$BT$866,MATCH($CB$799,$BO$809:$BO$866,0),MATCH(D972,$BP$808:$BT$808,0))),(INDEX($BW$809:$CA$866,MATCH($CB$799,$BV$809:$BV$866,0),MATCH(D972,$BW$808:$CA$808,0)))))</f>
        <v>495616</v>
      </c>
      <c r="S972" s="2108"/>
      <c r="T972" s="2108"/>
      <c r="U972" s="2108"/>
      <c r="V972" s="2108"/>
      <c r="W972" s="2108"/>
      <c r="X972" s="2108"/>
      <c r="Y972" s="2108"/>
      <c r="Z972" s="2108"/>
      <c r="AA972" s="2108"/>
      <c r="AB972" s="2041">
        <f>CC663</f>
        <v>75</v>
      </c>
      <c r="AC972" s="2042"/>
      <c r="AD972" s="2042"/>
      <c r="AE972" s="2042"/>
      <c r="AF972" s="2042"/>
      <c r="AG972" s="2042"/>
      <c r="AH972" s="2042"/>
      <c r="AI972" s="2043"/>
      <c r="AJ972" s="2089">
        <f>IF(ISERROR((R972*AB972)),0,(R972*AB972))</f>
        <v>37171200</v>
      </c>
      <c r="AK972" s="2090"/>
      <c r="AL972" s="2090"/>
      <c r="AM972" s="2090"/>
      <c r="AN972" s="2090"/>
      <c r="AO972" s="2090"/>
      <c r="AP972" s="2090"/>
      <c r="AQ972" s="209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2" t="s">
        <v>493</v>
      </c>
      <c r="E973" s="2113"/>
      <c r="F973" s="2113"/>
      <c r="G973" s="2113"/>
      <c r="H973" s="2113"/>
      <c r="I973" s="2113"/>
      <c r="J973" s="2113"/>
      <c r="K973" s="2113"/>
      <c r="L973" s="2113"/>
      <c r="M973" s="2113"/>
      <c r="N973" s="2113"/>
      <c r="O973" s="2113"/>
      <c r="P973" s="2113"/>
      <c r="Q973" s="2114"/>
      <c r="R973" s="2108">
        <f>IF(ISNA(IF($BN$799="4%",(INDEX($BP$809:$BT$866,MATCH($CB$799,$BO$809:$BO$866,0),MATCH(D973,$BP$808:$BT$808,0))),(INDEX($BW$809:$CA$866,MATCH($CB$799,$BV$809:$BV$866,0),MATCH(D973,$BW$808:$CA$808,0))))),0,IF($BN$799="4%",(INDEX($BP$809:$BT$866,MATCH($CB$799,$BO$809:$BO$866,0),MATCH(D973,$BP$808:$BT$808,0))),(INDEX($BW$809:$CA$866,MATCH($CB$799,$BV$809:$BV$866,0),MATCH(D973,$BW$808:$CA$808,0)))))</f>
        <v>552147</v>
      </c>
      <c r="S973" s="2108"/>
      <c r="T973" s="2108"/>
      <c r="U973" s="2108"/>
      <c r="V973" s="2108"/>
      <c r="W973" s="2108"/>
      <c r="X973" s="2108"/>
      <c r="Y973" s="2108"/>
      <c r="Z973" s="2108"/>
      <c r="AA973" s="2108"/>
      <c r="AB973" s="2041">
        <f>CM663+CH663</f>
        <v>0</v>
      </c>
      <c r="AC973" s="2042"/>
      <c r="AD973" s="2042"/>
      <c r="AE973" s="2042"/>
      <c r="AF973" s="2042"/>
      <c r="AG973" s="2042"/>
      <c r="AH973" s="2042"/>
      <c r="AI973" s="2043"/>
      <c r="AJ973" s="2089">
        <f>IF(ISERROR((R973*AB973)),0,(R973*AB973))</f>
        <v>0</v>
      </c>
      <c r="AK973" s="2090"/>
      <c r="AL973" s="2090"/>
      <c r="AM973" s="2090"/>
      <c r="AN973" s="2090"/>
      <c r="AO973" s="2090"/>
      <c r="AP973" s="2090"/>
      <c r="AQ973" s="209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0" t="s">
        <v>849</v>
      </c>
      <c r="C974" s="2131"/>
      <c r="D974" s="2131"/>
      <c r="E974" s="2131"/>
      <c r="F974" s="2131"/>
      <c r="G974" s="2131"/>
      <c r="H974" s="2131"/>
      <c r="I974" s="2131"/>
      <c r="J974" s="2131"/>
      <c r="K974" s="2131"/>
      <c r="L974" s="2131"/>
      <c r="M974" s="2131"/>
      <c r="N974" s="2131"/>
      <c r="O974" s="2131"/>
      <c r="P974" s="2131"/>
      <c r="Q974" s="2131"/>
      <c r="R974" s="2131"/>
      <c r="S974" s="2131"/>
      <c r="T974" s="2131"/>
      <c r="U974" s="2131"/>
      <c r="V974" s="2131"/>
      <c r="W974" s="2131"/>
      <c r="X974" s="2131"/>
      <c r="Y974" s="2131"/>
      <c r="Z974" s="2131"/>
      <c r="AA974" s="2132"/>
      <c r="AB974" s="2041">
        <f>SUM(AB969:AI973)</f>
        <v>294</v>
      </c>
      <c r="AC974" s="2042"/>
      <c r="AD974" s="2042"/>
      <c r="AE974" s="2042"/>
      <c r="AF974" s="2042"/>
      <c r="AG974" s="2042"/>
      <c r="AH974" s="2042"/>
      <c r="AI974" s="2043"/>
      <c r="AJ974" s="2089"/>
      <c r="AK974" s="2090"/>
      <c r="AL974" s="2090"/>
      <c r="AM974" s="2090"/>
      <c r="AN974" s="2090"/>
      <c r="AO974" s="2090"/>
      <c r="AP974" s="2090"/>
      <c r="AQ974" s="209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086" t="s">
        <v>545</v>
      </c>
      <c r="C975" s="2087"/>
      <c r="D975" s="2087"/>
      <c r="E975" s="2087"/>
      <c r="F975" s="2087"/>
      <c r="G975" s="2087"/>
      <c r="H975" s="2087"/>
      <c r="I975" s="2087"/>
      <c r="J975" s="2087"/>
      <c r="K975" s="2087"/>
      <c r="L975" s="2087"/>
      <c r="M975" s="2087"/>
      <c r="N975" s="2087"/>
      <c r="O975" s="2087"/>
      <c r="P975" s="2087"/>
      <c r="Q975" s="2087"/>
      <c r="R975" s="2087"/>
      <c r="S975" s="2087"/>
      <c r="T975" s="2087"/>
      <c r="U975" s="2087"/>
      <c r="V975" s="2087"/>
      <c r="W975" s="2087"/>
      <c r="X975" s="2087"/>
      <c r="Y975" s="2087"/>
      <c r="Z975" s="2087"/>
      <c r="AA975" s="2087"/>
      <c r="AB975" s="2087"/>
      <c r="AC975" s="2087"/>
      <c r="AD975" s="2087"/>
      <c r="AE975" s="2087"/>
      <c r="AF975" s="2087"/>
      <c r="AG975" s="2087"/>
      <c r="AH975" s="2087"/>
      <c r="AI975" s="2088"/>
      <c r="AJ975" s="2089">
        <f>SUM(AJ969:AQ973)</f>
        <v>110370227</v>
      </c>
      <c r="AK975" s="2090"/>
      <c r="AL975" s="2090"/>
      <c r="AM975" s="2090"/>
      <c r="AN975" s="2090"/>
      <c r="AO975" s="2090"/>
      <c r="AP975" s="2090"/>
      <c r="AQ975" s="209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2"/>
      <c r="C976" s="2093"/>
      <c r="D976" s="2093"/>
      <c r="E976" s="2093"/>
      <c r="F976" s="2093"/>
      <c r="G976" s="2093"/>
      <c r="H976" s="2093"/>
      <c r="I976" s="2093"/>
      <c r="J976" s="2093"/>
      <c r="K976" s="2093"/>
      <c r="L976" s="2093"/>
      <c r="M976" s="2093"/>
      <c r="N976" s="2093"/>
      <c r="O976" s="2093"/>
      <c r="P976" s="2093"/>
      <c r="Q976" s="2093"/>
      <c r="R976" s="2093"/>
      <c r="S976" s="2093"/>
      <c r="T976" s="2093"/>
      <c r="U976" s="2093"/>
      <c r="V976" s="2093"/>
      <c r="W976" s="2093"/>
      <c r="X976" s="2093"/>
      <c r="Y976" s="2093"/>
      <c r="Z976" s="2093"/>
      <c r="AA976" s="2093"/>
      <c r="AB976" s="2093"/>
      <c r="AC976" s="2093"/>
      <c r="AD976" s="2093"/>
      <c r="AE976" s="2094"/>
      <c r="AF976" s="2095" t="s">
        <v>703</v>
      </c>
      <c r="AG976" s="2096"/>
      <c r="AH976" s="2096"/>
      <c r="AI976" s="2097"/>
      <c r="AJ976" s="2092"/>
      <c r="AK976" s="2093"/>
      <c r="AL976" s="2093"/>
      <c r="AM976" s="2093"/>
      <c r="AN976" s="2093"/>
      <c r="AO976" s="2093"/>
      <c r="AP976" s="2093"/>
      <c r="AQ976" s="2094"/>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2" t="s">
        <v>1426</v>
      </c>
      <c r="E977" s="2103"/>
      <c r="F977" s="2103"/>
      <c r="G977" s="2103"/>
      <c r="H977" s="2103"/>
      <c r="I977" s="2103"/>
      <c r="J977" s="2103"/>
      <c r="K977" s="2103"/>
      <c r="L977" s="2103"/>
      <c r="M977" s="2103"/>
      <c r="N977" s="2103"/>
      <c r="O977" s="2103"/>
      <c r="P977" s="2103"/>
      <c r="Q977" s="2103"/>
      <c r="R977" s="2103"/>
      <c r="S977" s="2103"/>
      <c r="T977" s="2103"/>
      <c r="U977" s="2103"/>
      <c r="V977" s="2103"/>
      <c r="W977" s="2103"/>
      <c r="X977" s="2103"/>
      <c r="Y977" s="2103"/>
      <c r="Z977" s="2103"/>
      <c r="AA977" s="2103"/>
      <c r="AB977" s="2103"/>
      <c r="AC977" s="2103"/>
      <c r="AD977" s="2103"/>
      <c r="AE977" s="2104"/>
      <c r="AF977" s="117"/>
      <c r="AG977" s="2098" t="s">
        <v>706</v>
      </c>
      <c r="AH977" s="2099"/>
      <c r="AI977" s="125"/>
      <c r="AJ977" s="2121">
        <f>ROUND(IF(AND(AG977="yes",D979&gt;0),AJ975*0.2,0),0)</f>
        <v>0</v>
      </c>
      <c r="AK977" s="2122"/>
      <c r="AL977" s="2122"/>
      <c r="AM977" s="2122"/>
      <c r="AN977" s="2122"/>
      <c r="AO977" s="2122"/>
      <c r="AP977" s="2122"/>
      <c r="AQ977" s="212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3" t="s">
        <v>1427</v>
      </c>
      <c r="E978" s="2134"/>
      <c r="F978" s="2134"/>
      <c r="G978" s="2134"/>
      <c r="H978" s="2134"/>
      <c r="I978" s="2134"/>
      <c r="J978" s="2134"/>
      <c r="K978" s="2134"/>
      <c r="L978" s="2134"/>
      <c r="M978" s="2134"/>
      <c r="N978" s="2134"/>
      <c r="O978" s="2134"/>
      <c r="P978" s="2134"/>
      <c r="Q978" s="2134"/>
      <c r="R978" s="2134"/>
      <c r="S978" s="2134"/>
      <c r="T978" s="2134"/>
      <c r="U978" s="2134"/>
      <c r="V978" s="2134"/>
      <c r="W978" s="2134"/>
      <c r="X978" s="2134"/>
      <c r="Y978" s="2134"/>
      <c r="Z978" s="2134"/>
      <c r="AA978" s="2134"/>
      <c r="AB978" s="2134"/>
      <c r="AC978" s="2134"/>
      <c r="AD978" s="2134"/>
      <c r="AE978" s="2135"/>
      <c r="AF978" s="110"/>
      <c r="AG978" s="112"/>
      <c r="AH978" s="112"/>
      <c r="AI978" s="121"/>
      <c r="AJ978" s="2124"/>
      <c r="AK978" s="2125"/>
      <c r="AL978" s="2125"/>
      <c r="AM978" s="2125"/>
      <c r="AN978" s="2125"/>
      <c r="AO978" s="2125"/>
      <c r="AP978" s="2125"/>
      <c r="AQ978" s="2126"/>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136"/>
      <c r="E979" s="2137"/>
      <c r="F979" s="2137"/>
      <c r="G979" s="2137"/>
      <c r="H979" s="2137"/>
      <c r="I979" s="2137"/>
      <c r="J979" s="2137"/>
      <c r="K979" s="2137"/>
      <c r="L979" s="2137"/>
      <c r="M979" s="2137"/>
      <c r="N979" s="2137"/>
      <c r="O979" s="2137"/>
      <c r="P979" s="2137"/>
      <c r="Q979" s="2137"/>
      <c r="R979" s="2137"/>
      <c r="S979" s="2137"/>
      <c r="T979" s="2137"/>
      <c r="U979" s="2137"/>
      <c r="V979" s="2137"/>
      <c r="W979" s="2137"/>
      <c r="X979" s="2137"/>
      <c r="Y979" s="2137"/>
      <c r="Z979" s="2137"/>
      <c r="AA979" s="2137"/>
      <c r="AB979" s="2137"/>
      <c r="AC979" s="2137"/>
      <c r="AD979" s="2137"/>
      <c r="AE979" s="2138"/>
      <c r="AF979" s="115"/>
      <c r="AG979" s="11"/>
      <c r="AH979" s="11"/>
      <c r="AI979" s="116"/>
      <c r="AJ979" s="2127"/>
      <c r="AK979" s="2128"/>
      <c r="AL979" s="2128"/>
      <c r="AM979" s="2128"/>
      <c r="AN979" s="2128"/>
      <c r="AO979" s="2128"/>
      <c r="AP979" s="2128"/>
      <c r="AQ979" s="2129"/>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3" t="s">
        <v>1522</v>
      </c>
      <c r="E980" s="2084"/>
      <c r="F980" s="2084"/>
      <c r="G980" s="2084"/>
      <c r="H980" s="2084"/>
      <c r="I980" s="2084"/>
      <c r="J980" s="2084"/>
      <c r="K980" s="2084"/>
      <c r="L980" s="2084"/>
      <c r="M980" s="2084"/>
      <c r="N980" s="2084"/>
      <c r="O980" s="2084"/>
      <c r="P980" s="2084"/>
      <c r="Q980" s="2084"/>
      <c r="R980" s="2084"/>
      <c r="S980" s="2084"/>
      <c r="T980" s="2084"/>
      <c r="U980" s="2084"/>
      <c r="V980" s="2084"/>
      <c r="W980" s="2084"/>
      <c r="X980" s="2084"/>
      <c r="Y980" s="2084"/>
      <c r="Z980" s="2084"/>
      <c r="AA980" s="2084"/>
      <c r="AB980" s="2084"/>
      <c r="AC980" s="2084"/>
      <c r="AD980" s="2084"/>
      <c r="AE980" s="2085"/>
      <c r="AF980" s="117"/>
      <c r="AG980" s="2100" t="s">
        <v>706</v>
      </c>
      <c r="AH980" s="2101"/>
      <c r="AI980" s="125"/>
      <c r="AJ980" s="2121">
        <f>ROUND(IF(AG980="yes",AJ975*0.05,0),0)</f>
        <v>0</v>
      </c>
      <c r="AK980" s="2122"/>
      <c r="AL980" s="2122"/>
      <c r="AM980" s="2122"/>
      <c r="AN980" s="2122"/>
      <c r="AO980" s="2122"/>
      <c r="AP980" s="2122"/>
      <c r="AQ980" s="212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133" t="s">
        <v>1520</v>
      </c>
      <c r="E981" s="2134"/>
      <c r="F981" s="2134"/>
      <c r="G981" s="2134"/>
      <c r="H981" s="2134"/>
      <c r="I981" s="2134"/>
      <c r="J981" s="2134"/>
      <c r="K981" s="2134"/>
      <c r="L981" s="2134"/>
      <c r="M981" s="2134"/>
      <c r="N981" s="2134"/>
      <c r="O981" s="2134"/>
      <c r="P981" s="2134"/>
      <c r="Q981" s="2134"/>
      <c r="R981" s="2134"/>
      <c r="S981" s="2134"/>
      <c r="T981" s="2134"/>
      <c r="U981" s="2134"/>
      <c r="V981" s="2134"/>
      <c r="W981" s="2134"/>
      <c r="X981" s="2134"/>
      <c r="Y981" s="2134"/>
      <c r="Z981" s="2134"/>
      <c r="AA981" s="2134"/>
      <c r="AB981" s="2134"/>
      <c r="AC981" s="2134"/>
      <c r="AD981" s="2134"/>
      <c r="AE981" s="2135"/>
      <c r="AF981" s="110"/>
      <c r="AG981" s="112"/>
      <c r="AH981" s="112"/>
      <c r="AI981" s="121"/>
      <c r="AJ981" s="2124"/>
      <c r="AK981" s="2125"/>
      <c r="AL981" s="2125"/>
      <c r="AM981" s="2125"/>
      <c r="AN981" s="2125"/>
      <c r="AO981" s="2125"/>
      <c r="AP981" s="2125"/>
      <c r="AQ981" s="2126"/>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3"/>
      <c r="E982" s="2134"/>
      <c r="F982" s="2134"/>
      <c r="G982" s="2134"/>
      <c r="H982" s="2134"/>
      <c r="I982" s="2134"/>
      <c r="J982" s="2134"/>
      <c r="K982" s="2134"/>
      <c r="L982" s="2134"/>
      <c r="M982" s="2134"/>
      <c r="N982" s="2134"/>
      <c r="O982" s="2134"/>
      <c r="P982" s="2134"/>
      <c r="Q982" s="2134"/>
      <c r="R982" s="2134"/>
      <c r="S982" s="2134"/>
      <c r="T982" s="2134"/>
      <c r="U982" s="2134"/>
      <c r="V982" s="2134"/>
      <c r="W982" s="2134"/>
      <c r="X982" s="2134"/>
      <c r="Y982" s="2134"/>
      <c r="Z982" s="2134"/>
      <c r="AA982" s="2134"/>
      <c r="AB982" s="2134"/>
      <c r="AC982" s="2134"/>
      <c r="AD982" s="2134"/>
      <c r="AE982" s="2135"/>
      <c r="AF982" s="110"/>
      <c r="AG982" s="112"/>
      <c r="AH982" s="112"/>
      <c r="AI982" s="121"/>
      <c r="AJ982" s="2124"/>
      <c r="AK982" s="2125"/>
      <c r="AL982" s="2125"/>
      <c r="AM982" s="2125"/>
      <c r="AN982" s="2125"/>
      <c r="AO982" s="2125"/>
      <c r="AP982" s="2125"/>
      <c r="AQ982" s="2126"/>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3"/>
      <c r="E983" s="2134"/>
      <c r="F983" s="2134"/>
      <c r="G983" s="2134"/>
      <c r="H983" s="2134"/>
      <c r="I983" s="2134"/>
      <c r="J983" s="2134"/>
      <c r="K983" s="2134"/>
      <c r="L983" s="2134"/>
      <c r="M983" s="2134"/>
      <c r="N983" s="2134"/>
      <c r="O983" s="2134"/>
      <c r="P983" s="2134"/>
      <c r="Q983" s="2134"/>
      <c r="R983" s="2134"/>
      <c r="S983" s="2134"/>
      <c r="T983" s="2134"/>
      <c r="U983" s="2134"/>
      <c r="V983" s="2134"/>
      <c r="W983" s="2134"/>
      <c r="X983" s="2134"/>
      <c r="Y983" s="2134"/>
      <c r="Z983" s="2134"/>
      <c r="AA983" s="2134"/>
      <c r="AB983" s="2134"/>
      <c r="AC983" s="2134"/>
      <c r="AD983" s="2134"/>
      <c r="AE983" s="2135"/>
      <c r="AF983" s="110"/>
      <c r="AG983" s="112"/>
      <c r="AH983" s="112"/>
      <c r="AI983" s="121"/>
      <c r="AJ983" s="2124"/>
      <c r="AK983" s="2125"/>
      <c r="AL983" s="2125"/>
      <c r="AM983" s="2125"/>
      <c r="AN983" s="2125"/>
      <c r="AO983" s="2125"/>
      <c r="AP983" s="2125"/>
      <c r="AQ983" s="2126"/>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3"/>
      <c r="E984" s="2134"/>
      <c r="F984" s="2134"/>
      <c r="G984" s="2134"/>
      <c r="H984" s="2134"/>
      <c r="I984" s="2134"/>
      <c r="J984" s="2134"/>
      <c r="K984" s="2134"/>
      <c r="L984" s="2134"/>
      <c r="M984" s="2134"/>
      <c r="N984" s="2134"/>
      <c r="O984" s="2134"/>
      <c r="P984" s="2134"/>
      <c r="Q984" s="2134"/>
      <c r="R984" s="2134"/>
      <c r="S984" s="2134"/>
      <c r="T984" s="2134"/>
      <c r="U984" s="2134"/>
      <c r="V984" s="2134"/>
      <c r="W984" s="2134"/>
      <c r="X984" s="2134"/>
      <c r="Y984" s="2134"/>
      <c r="Z984" s="2134"/>
      <c r="AA984" s="2134"/>
      <c r="AB984" s="2134"/>
      <c r="AC984" s="2134"/>
      <c r="AD984" s="2134"/>
      <c r="AE984" s="2135"/>
      <c r="AF984" s="110"/>
      <c r="AG984" s="112"/>
      <c r="AH984" s="112"/>
      <c r="AI984" s="121"/>
      <c r="AJ984" s="2124"/>
      <c r="AK984" s="2125"/>
      <c r="AL984" s="2125"/>
      <c r="AM984" s="2125"/>
      <c r="AN984" s="2125"/>
      <c r="AO984" s="2125"/>
      <c r="AP984" s="2125"/>
      <c r="AQ984" s="2126"/>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39"/>
      <c r="E985" s="2140"/>
      <c r="F985" s="2140"/>
      <c r="G985" s="2140"/>
      <c r="H985" s="2140"/>
      <c r="I985" s="2140"/>
      <c r="J985" s="2140"/>
      <c r="K985" s="2140"/>
      <c r="L985" s="2140"/>
      <c r="M985" s="2140"/>
      <c r="N985" s="2140"/>
      <c r="O985" s="2140"/>
      <c r="P985" s="2140"/>
      <c r="Q985" s="2140"/>
      <c r="R985" s="2140"/>
      <c r="S985" s="2140"/>
      <c r="T985" s="2140"/>
      <c r="U985" s="2140"/>
      <c r="V985" s="2140"/>
      <c r="W985" s="2140"/>
      <c r="X985" s="2140"/>
      <c r="Y985" s="2140"/>
      <c r="Z985" s="2140"/>
      <c r="AA985" s="2140"/>
      <c r="AB985" s="2140"/>
      <c r="AC985" s="2140"/>
      <c r="AD985" s="2140"/>
      <c r="AE985" s="2141"/>
      <c r="AF985" s="115"/>
      <c r="AG985" s="11"/>
      <c r="AH985" s="11"/>
      <c r="AI985" s="116"/>
      <c r="AJ985" s="2127"/>
      <c r="AK985" s="2128"/>
      <c r="AL985" s="2128"/>
      <c r="AM985" s="2128"/>
      <c r="AN985" s="2128"/>
      <c r="AO985" s="2128"/>
      <c r="AP985" s="2128"/>
      <c r="AQ985" s="2129"/>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3" t="s">
        <v>2101</v>
      </c>
      <c r="E986" s="2084"/>
      <c r="F986" s="2084"/>
      <c r="G986" s="2084"/>
      <c r="H986" s="2084"/>
      <c r="I986" s="2084"/>
      <c r="J986" s="2084"/>
      <c r="K986" s="2084"/>
      <c r="L986" s="2084"/>
      <c r="M986" s="2084"/>
      <c r="N986" s="2084"/>
      <c r="O986" s="2084"/>
      <c r="P986" s="2084"/>
      <c r="Q986" s="2084"/>
      <c r="R986" s="2084"/>
      <c r="S986" s="2084"/>
      <c r="T986" s="2084"/>
      <c r="U986" s="2084"/>
      <c r="V986" s="2084"/>
      <c r="W986" s="2084"/>
      <c r="X986" s="2084"/>
      <c r="Y986" s="2084"/>
      <c r="Z986" s="2084"/>
      <c r="AA986" s="2084"/>
      <c r="AB986" s="2084"/>
      <c r="AC986" s="2084"/>
      <c r="AD986" s="2084"/>
      <c r="AE986" s="2085"/>
      <c r="AF986" s="124"/>
      <c r="AG986" s="2100" t="s">
        <v>706</v>
      </c>
      <c r="AH986" s="2101"/>
      <c r="AI986" s="125"/>
      <c r="AJ986" s="2121">
        <f>ROUND(IF(AG986="yes",AJ975*0.1,0),0)</f>
        <v>0</v>
      </c>
      <c r="AK986" s="2122"/>
      <c r="AL986" s="2122"/>
      <c r="AM986" s="2122"/>
      <c r="AN986" s="2122"/>
      <c r="AO986" s="2122"/>
      <c r="AP986" s="2122"/>
      <c r="AQ986" s="212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7" t="s">
        <v>1521</v>
      </c>
      <c r="E987" s="2078"/>
      <c r="F987" s="2078"/>
      <c r="G987" s="2078"/>
      <c r="H987" s="2078"/>
      <c r="I987" s="2078"/>
      <c r="J987" s="2078"/>
      <c r="K987" s="2078"/>
      <c r="L987" s="2078"/>
      <c r="M987" s="2078"/>
      <c r="N987" s="2078"/>
      <c r="O987" s="2078"/>
      <c r="P987" s="2078"/>
      <c r="Q987" s="2078"/>
      <c r="R987" s="2078"/>
      <c r="S987" s="2078"/>
      <c r="T987" s="2078"/>
      <c r="U987" s="2078"/>
      <c r="V987" s="2078"/>
      <c r="W987" s="2078"/>
      <c r="X987" s="2078"/>
      <c r="Y987" s="2078"/>
      <c r="Z987" s="2078"/>
      <c r="AA987" s="2078"/>
      <c r="AB987" s="2078"/>
      <c r="AC987" s="2078"/>
      <c r="AD987" s="2078"/>
      <c r="AE987" s="2079"/>
      <c r="AF987" s="110"/>
      <c r="AG987" s="25"/>
      <c r="AH987" s="25"/>
      <c r="AI987" s="121"/>
      <c r="AJ987" s="2124"/>
      <c r="AK987" s="2125"/>
      <c r="AL987" s="2125"/>
      <c r="AM987" s="2125"/>
      <c r="AN987" s="2125"/>
      <c r="AO987" s="2125"/>
      <c r="AP987" s="2125"/>
      <c r="AQ987" s="2126"/>
      <c r="AR987" s="1487"/>
      <c r="AS987" s="1487"/>
      <c r="AT987" s="1487"/>
      <c r="AU987" s="1487"/>
      <c r="AV987" s="1487"/>
      <c r="AW987" s="1487"/>
      <c r="AX987" s="1487"/>
      <c r="AY987" s="1487"/>
      <c r="AZ987" s="61"/>
      <c r="BA987" s="1516">
        <f>G753+O796</f>
        <v>291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7"/>
      <c r="E988" s="2078"/>
      <c r="F988" s="2078"/>
      <c r="G988" s="2078"/>
      <c r="H988" s="2078"/>
      <c r="I988" s="2078"/>
      <c r="J988" s="2078"/>
      <c r="K988" s="2078"/>
      <c r="L988" s="2078"/>
      <c r="M988" s="2078"/>
      <c r="N988" s="2078"/>
      <c r="O988" s="2078"/>
      <c r="P988" s="2078"/>
      <c r="Q988" s="2078"/>
      <c r="R988" s="2078"/>
      <c r="S988" s="2078"/>
      <c r="T988" s="2078"/>
      <c r="U988" s="2078"/>
      <c r="V988" s="2078"/>
      <c r="W988" s="2078"/>
      <c r="X988" s="2078"/>
      <c r="Y988" s="2078"/>
      <c r="Z988" s="2078"/>
      <c r="AA988" s="2078"/>
      <c r="AB988" s="2078"/>
      <c r="AC988" s="2078"/>
      <c r="AD988" s="2078"/>
      <c r="AE988" s="2079"/>
      <c r="AF988" s="110"/>
      <c r="AG988" s="112"/>
      <c r="AH988" s="112"/>
      <c r="AI988" s="121"/>
      <c r="AJ988" s="2124"/>
      <c r="AK988" s="2125"/>
      <c r="AL988" s="2125"/>
      <c r="AM988" s="2125"/>
      <c r="AN988" s="2125"/>
      <c r="AO988" s="2125"/>
      <c r="AP988" s="2125"/>
      <c r="AQ988" s="2126"/>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5"/>
      <c r="E989" s="2106"/>
      <c r="F989" s="2106"/>
      <c r="G989" s="2106"/>
      <c r="H989" s="2106"/>
      <c r="I989" s="2106"/>
      <c r="J989" s="2106"/>
      <c r="K989" s="2106"/>
      <c r="L989" s="2106"/>
      <c r="M989" s="2106"/>
      <c r="N989" s="2106"/>
      <c r="O989" s="2106"/>
      <c r="P989" s="2106"/>
      <c r="Q989" s="2106"/>
      <c r="R989" s="2106"/>
      <c r="S989" s="2106"/>
      <c r="T989" s="2106"/>
      <c r="U989" s="2106"/>
      <c r="V989" s="2106"/>
      <c r="W989" s="2106"/>
      <c r="X989" s="2106"/>
      <c r="Y989" s="2106"/>
      <c r="Z989" s="2106"/>
      <c r="AA989" s="2106"/>
      <c r="AB989" s="2106"/>
      <c r="AC989" s="2106"/>
      <c r="AD989" s="2106"/>
      <c r="AE989" s="2107"/>
      <c r="AF989" s="115"/>
      <c r="AG989" s="11"/>
      <c r="AH989" s="11"/>
      <c r="AI989" s="116"/>
      <c r="AJ989" s="2127"/>
      <c r="AK989" s="2128"/>
      <c r="AL989" s="2128"/>
      <c r="AM989" s="2128"/>
      <c r="AN989" s="2128"/>
      <c r="AO989" s="2128"/>
      <c r="AP989" s="2128"/>
      <c r="AQ989" s="2129"/>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3" t="s">
        <v>1523</v>
      </c>
      <c r="E990" s="2084"/>
      <c r="F990" s="2084"/>
      <c r="G990" s="2084"/>
      <c r="H990" s="2084"/>
      <c r="I990" s="2084"/>
      <c r="J990" s="2084"/>
      <c r="K990" s="2084"/>
      <c r="L990" s="2084"/>
      <c r="M990" s="2084"/>
      <c r="N990" s="2084"/>
      <c r="O990" s="2084"/>
      <c r="P990" s="2084"/>
      <c r="Q990" s="2084"/>
      <c r="R990" s="2084"/>
      <c r="S990" s="2084"/>
      <c r="T990" s="2084"/>
      <c r="U990" s="2084"/>
      <c r="V990" s="2084"/>
      <c r="W990" s="2084"/>
      <c r="X990" s="2084"/>
      <c r="Y990" s="2084"/>
      <c r="Z990" s="2084"/>
      <c r="AA990" s="2084"/>
      <c r="AB990" s="2084"/>
      <c r="AC990" s="2084"/>
      <c r="AD990" s="2084"/>
      <c r="AE990" s="2085"/>
      <c r="AF990" s="117"/>
      <c r="AG990" s="2100" t="s">
        <v>706</v>
      </c>
      <c r="AH990" s="2101"/>
      <c r="AI990" s="125"/>
      <c r="AJ990" s="2121">
        <f>ROUND(IF(AG990="yes",AJ975*0.02,0),0)</f>
        <v>0</v>
      </c>
      <c r="AK990" s="2122"/>
      <c r="AL990" s="2122"/>
      <c r="AM990" s="2122"/>
      <c r="AN990" s="2122"/>
      <c r="AO990" s="2122"/>
      <c r="AP990" s="2122"/>
      <c r="AQ990" s="2123"/>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5" t="s">
        <v>1524</v>
      </c>
      <c r="E991" s="2106"/>
      <c r="F991" s="2106"/>
      <c r="G991" s="2106"/>
      <c r="H991" s="2106"/>
      <c r="I991" s="2106"/>
      <c r="J991" s="2106"/>
      <c r="K991" s="2106"/>
      <c r="L991" s="2106"/>
      <c r="M991" s="2106"/>
      <c r="N991" s="2106"/>
      <c r="O991" s="2106"/>
      <c r="P991" s="2106"/>
      <c r="Q991" s="2106"/>
      <c r="R991" s="2106"/>
      <c r="S991" s="2106"/>
      <c r="T991" s="2106"/>
      <c r="U991" s="2106"/>
      <c r="V991" s="2106"/>
      <c r="W991" s="2106"/>
      <c r="X991" s="2106"/>
      <c r="Y991" s="2106"/>
      <c r="Z991" s="2106"/>
      <c r="AA991" s="2106"/>
      <c r="AB991" s="2106"/>
      <c r="AC991" s="2106"/>
      <c r="AD991" s="2106"/>
      <c r="AE991" s="2107"/>
      <c r="AF991" s="115"/>
      <c r="AG991" s="11"/>
      <c r="AH991" s="11"/>
      <c r="AI991" s="116"/>
      <c r="AJ991" s="2127"/>
      <c r="AK991" s="2128"/>
      <c r="AL991" s="2128"/>
      <c r="AM991" s="2128"/>
      <c r="AN991" s="2128"/>
      <c r="AO991" s="2128"/>
      <c r="AP991" s="2128"/>
      <c r="AQ991" s="2129"/>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3" t="s">
        <v>1525</v>
      </c>
      <c r="E992" s="2084"/>
      <c r="F992" s="2084"/>
      <c r="G992" s="2084"/>
      <c r="H992" s="2084"/>
      <c r="I992" s="2084"/>
      <c r="J992" s="2084"/>
      <c r="K992" s="2084"/>
      <c r="L992" s="2084"/>
      <c r="M992" s="2084"/>
      <c r="N992" s="2084"/>
      <c r="O992" s="2084"/>
      <c r="P992" s="2084"/>
      <c r="Q992" s="2084"/>
      <c r="R992" s="2084"/>
      <c r="S992" s="2084"/>
      <c r="T992" s="2084"/>
      <c r="U992" s="2084"/>
      <c r="V992" s="2084"/>
      <c r="W992" s="2084"/>
      <c r="X992" s="2084"/>
      <c r="Y992" s="2084"/>
      <c r="Z992" s="2084"/>
      <c r="AA992" s="2084"/>
      <c r="AB992" s="2084"/>
      <c r="AC992" s="2084"/>
      <c r="AD992" s="2084"/>
      <c r="AE992" s="2085"/>
      <c r="AF992" s="117"/>
      <c r="AG992" s="2100" t="s">
        <v>706</v>
      </c>
      <c r="AH992" s="2101"/>
      <c r="AI992" s="117"/>
      <c r="AJ992" s="2121">
        <f>ROUND(IF(AG992="yes",AJ975*0.02,0),0)</f>
        <v>0</v>
      </c>
      <c r="AK992" s="2122"/>
      <c r="AL992" s="2122"/>
      <c r="AM992" s="2122"/>
      <c r="AN992" s="2122"/>
      <c r="AO992" s="2122"/>
      <c r="AP992" s="2122"/>
      <c r="AQ992" s="212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7" t="s">
        <v>1526</v>
      </c>
      <c r="E993" s="2078"/>
      <c r="F993" s="2078"/>
      <c r="G993" s="2078"/>
      <c r="H993" s="2078"/>
      <c r="I993" s="2078"/>
      <c r="J993" s="2078"/>
      <c r="K993" s="2078"/>
      <c r="L993" s="2078"/>
      <c r="M993" s="2078"/>
      <c r="N993" s="2078"/>
      <c r="O993" s="2078"/>
      <c r="P993" s="2078"/>
      <c r="Q993" s="2078"/>
      <c r="R993" s="2078"/>
      <c r="S993" s="2078"/>
      <c r="T993" s="2078"/>
      <c r="U993" s="2078"/>
      <c r="V993" s="2078"/>
      <c r="W993" s="2078"/>
      <c r="X993" s="2078"/>
      <c r="Y993" s="2078"/>
      <c r="Z993" s="2078"/>
      <c r="AA993" s="2078"/>
      <c r="AB993" s="2078"/>
      <c r="AC993" s="2078"/>
      <c r="AD993" s="2078"/>
      <c r="AE993" s="2079"/>
      <c r="AF993" s="110"/>
      <c r="AG993" s="25"/>
      <c r="AH993" s="25"/>
      <c r="AI993" s="112"/>
      <c r="AJ993" s="2124"/>
      <c r="AK993" s="2125"/>
      <c r="AL993" s="2125"/>
      <c r="AM993" s="2125"/>
      <c r="AN993" s="2125"/>
      <c r="AO993" s="2125"/>
      <c r="AP993" s="2125"/>
      <c r="AQ993" s="2126"/>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5"/>
      <c r="E994" s="2106"/>
      <c r="F994" s="2106"/>
      <c r="G994" s="2106"/>
      <c r="H994" s="2106"/>
      <c r="I994" s="2106"/>
      <c r="J994" s="2106"/>
      <c r="K994" s="2106"/>
      <c r="L994" s="2106"/>
      <c r="M994" s="2106"/>
      <c r="N994" s="2106"/>
      <c r="O994" s="2106"/>
      <c r="P994" s="2106"/>
      <c r="Q994" s="2106"/>
      <c r="R994" s="2106"/>
      <c r="S994" s="2106"/>
      <c r="T994" s="2106"/>
      <c r="U994" s="2106"/>
      <c r="V994" s="2106"/>
      <c r="W994" s="2106"/>
      <c r="X994" s="2106"/>
      <c r="Y994" s="2106"/>
      <c r="Z994" s="2106"/>
      <c r="AA994" s="2106"/>
      <c r="AB994" s="2106"/>
      <c r="AC994" s="2106"/>
      <c r="AD994" s="2106"/>
      <c r="AE994" s="2107"/>
      <c r="AF994" s="115"/>
      <c r="AG994" s="11"/>
      <c r="AH994" s="11"/>
      <c r="AI994" s="116"/>
      <c r="AJ994" s="2127"/>
      <c r="AK994" s="2128"/>
      <c r="AL994" s="2128"/>
      <c r="AM994" s="2128"/>
      <c r="AN994" s="2128"/>
      <c r="AO994" s="2128"/>
      <c r="AP994" s="2128"/>
      <c r="AQ994" s="2129"/>
      <c r="AR994" s="1487"/>
      <c r="AS994" s="1487"/>
      <c r="AT994" s="1487"/>
      <c r="AU994" s="1487"/>
      <c r="AV994" s="1487"/>
      <c r="AW994" s="1487"/>
      <c r="AX994" s="1487"/>
      <c r="AY994" s="1487"/>
    </row>
    <row r="995" spans="1:96" s="717" customFormat="1" ht="12.75" customHeight="1">
      <c r="A995" s="51"/>
      <c r="B995" s="117"/>
      <c r="C995" s="118" t="s">
        <v>224</v>
      </c>
      <c r="D995" s="2102" t="s">
        <v>1527</v>
      </c>
      <c r="E995" s="2103"/>
      <c r="F995" s="2103"/>
      <c r="G995" s="2103"/>
      <c r="H995" s="2103"/>
      <c r="I995" s="2103"/>
      <c r="J995" s="2103"/>
      <c r="K995" s="2103"/>
      <c r="L995" s="2103"/>
      <c r="M995" s="2103"/>
      <c r="N995" s="2103"/>
      <c r="O995" s="2103"/>
      <c r="P995" s="2103"/>
      <c r="Q995" s="2103"/>
      <c r="R995" s="2103"/>
      <c r="S995" s="2103"/>
      <c r="T995" s="2103"/>
      <c r="U995" s="2103"/>
      <c r="V995" s="2103"/>
      <c r="W995" s="2103"/>
      <c r="X995" s="2103"/>
      <c r="Y995" s="2103"/>
      <c r="Z995" s="2103"/>
      <c r="AA995" s="2103"/>
      <c r="AB995" s="2103"/>
      <c r="AC995" s="2103"/>
      <c r="AD995" s="2103"/>
      <c r="AE995" s="2104"/>
      <c r="AF995" s="117"/>
      <c r="AG995" s="2100" t="s">
        <v>706</v>
      </c>
      <c r="AH995" s="2101"/>
      <c r="AI995" s="125"/>
      <c r="AJ995" s="2121">
        <f>IF(AG995="yes",AJ975*BA995,0)</f>
        <v>0</v>
      </c>
      <c r="AK995" s="2122"/>
      <c r="AL995" s="2122"/>
      <c r="AM995" s="2122"/>
      <c r="AN995" s="2122"/>
      <c r="AO995" s="2122"/>
      <c r="AP995" s="2122"/>
      <c r="AQ995" s="212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7" t="s">
        <v>1528</v>
      </c>
      <c r="E996" s="2078"/>
      <c r="F996" s="2078"/>
      <c r="G996" s="2078"/>
      <c r="H996" s="2078"/>
      <c r="I996" s="2078"/>
      <c r="J996" s="2078"/>
      <c r="K996" s="2078"/>
      <c r="L996" s="2078"/>
      <c r="M996" s="2078"/>
      <c r="N996" s="2078"/>
      <c r="O996" s="2078"/>
      <c r="P996" s="2078"/>
      <c r="Q996" s="2078"/>
      <c r="R996" s="2078"/>
      <c r="S996" s="2078"/>
      <c r="T996" s="2078"/>
      <c r="U996" s="2078"/>
      <c r="V996" s="2078"/>
      <c r="W996" s="2078"/>
      <c r="X996" s="2078"/>
      <c r="Y996" s="2078"/>
      <c r="Z996" s="2078"/>
      <c r="AA996" s="2078"/>
      <c r="AB996" s="2078"/>
      <c r="AC996" s="2078"/>
      <c r="AD996" s="2078"/>
      <c r="AE996" s="2079"/>
      <c r="AF996" s="110"/>
      <c r="AG996" s="112"/>
      <c r="AH996" s="112"/>
      <c r="AI996" s="121"/>
      <c r="AJ996" s="2124"/>
      <c r="AK996" s="2125"/>
      <c r="AL996" s="2125"/>
      <c r="AM996" s="2125"/>
      <c r="AN996" s="2125"/>
      <c r="AO996" s="2125"/>
      <c r="AP996" s="2125"/>
      <c r="AQ996" s="2126"/>
      <c r="AR996" s="1487"/>
      <c r="AS996" s="1487"/>
      <c r="AT996" s="1487"/>
      <c r="AU996" s="1487"/>
      <c r="AV996" s="1487"/>
      <c r="AW996" s="1487"/>
      <c r="AX996" s="1487"/>
      <c r="AY996" s="1487"/>
    </row>
    <row r="997" spans="1:96" ht="12.75" customHeight="1">
      <c r="A997" s="51"/>
      <c r="B997" s="110"/>
      <c r="C997" s="111"/>
      <c r="D997" s="2077"/>
      <c r="E997" s="2078"/>
      <c r="F997" s="2078"/>
      <c r="G997" s="2078"/>
      <c r="H997" s="2078"/>
      <c r="I997" s="2078"/>
      <c r="J997" s="2078"/>
      <c r="K997" s="2078"/>
      <c r="L997" s="2078"/>
      <c r="M997" s="2078"/>
      <c r="N997" s="2078"/>
      <c r="O997" s="2078"/>
      <c r="P997" s="2078"/>
      <c r="Q997" s="2078"/>
      <c r="R997" s="2078"/>
      <c r="S997" s="2078"/>
      <c r="T997" s="2078"/>
      <c r="U997" s="2078"/>
      <c r="V997" s="2078"/>
      <c r="W997" s="2078"/>
      <c r="X997" s="2078"/>
      <c r="Y997" s="2078"/>
      <c r="Z997" s="2078"/>
      <c r="AA997" s="2078"/>
      <c r="AB997" s="2078"/>
      <c r="AC997" s="2078"/>
      <c r="AD997" s="2078"/>
      <c r="AE997" s="2079"/>
      <c r="AF997" s="110"/>
      <c r="AG997" s="112"/>
      <c r="AH997" s="112"/>
      <c r="AI997" s="121"/>
      <c r="AJ997" s="2124"/>
      <c r="AK997" s="2125"/>
      <c r="AL997" s="2125"/>
      <c r="AM997" s="2125"/>
      <c r="AN997" s="2125"/>
      <c r="AO997" s="2125"/>
      <c r="AP997" s="2125"/>
      <c r="AQ997" s="2126"/>
      <c r="AR997" s="1487"/>
      <c r="AS997" s="1487"/>
      <c r="AT997" s="1487"/>
      <c r="AU997" s="1487"/>
      <c r="AV997" s="1487"/>
      <c r="AW997" s="1487"/>
      <c r="AX997" s="1487"/>
      <c r="AY997" s="1487"/>
      <c r="BA997" s="320">
        <f>IF(A1044="Yes",0.05,0)</f>
        <v>0</v>
      </c>
    </row>
    <row r="998" spans="1:96" ht="15" customHeight="1">
      <c r="A998" s="51"/>
      <c r="B998" s="119"/>
      <c r="C998" s="120"/>
      <c r="D998" s="2105"/>
      <c r="E998" s="2106"/>
      <c r="F998" s="2106"/>
      <c r="G998" s="2106"/>
      <c r="H998" s="2106"/>
      <c r="I998" s="2106"/>
      <c r="J998" s="2106"/>
      <c r="K998" s="2106"/>
      <c r="L998" s="2106"/>
      <c r="M998" s="2106"/>
      <c r="N998" s="2106"/>
      <c r="O998" s="2106"/>
      <c r="P998" s="2106"/>
      <c r="Q998" s="2106"/>
      <c r="R998" s="2106"/>
      <c r="S998" s="2106"/>
      <c r="T998" s="2106"/>
      <c r="U998" s="2106"/>
      <c r="V998" s="2106"/>
      <c r="W998" s="2106"/>
      <c r="X998" s="2106"/>
      <c r="Y998" s="2106"/>
      <c r="Z998" s="2106"/>
      <c r="AA998" s="2106"/>
      <c r="AB998" s="2106"/>
      <c r="AC998" s="2106"/>
      <c r="AD998" s="2106"/>
      <c r="AE998" s="2107"/>
      <c r="AF998" s="115"/>
      <c r="AG998" s="11"/>
      <c r="AH998" s="11"/>
      <c r="AI998" s="116"/>
      <c r="AJ998" s="2127"/>
      <c r="AK998" s="2128"/>
      <c r="AL998" s="2128"/>
      <c r="AM998" s="2128"/>
      <c r="AN998" s="2128"/>
      <c r="AO998" s="2128"/>
      <c r="AP998" s="2128"/>
      <c r="AQ998" s="2129"/>
      <c r="AR998" s="1487"/>
      <c r="AS998" s="1487"/>
      <c r="AT998" s="1487"/>
      <c r="AU998" s="1487"/>
      <c r="AV998" s="1487"/>
      <c r="AW998" s="1487"/>
      <c r="AX998" s="1487"/>
      <c r="AY998" s="1487"/>
      <c r="BA998" s="320">
        <f>IF(A1050="Yes",0.02,0)</f>
        <v>0</v>
      </c>
    </row>
    <row r="999" spans="1:96" s="717" customFormat="1" ht="15" customHeight="1">
      <c r="A999" s="51"/>
      <c r="B999" s="117"/>
      <c r="C999" s="118" t="s">
        <v>229</v>
      </c>
      <c r="D999" s="2071" t="s">
        <v>1529</v>
      </c>
      <c r="E999" s="2072"/>
      <c r="F999" s="2072"/>
      <c r="G999" s="2072"/>
      <c r="H999" s="2072"/>
      <c r="I999" s="2072"/>
      <c r="J999" s="2072"/>
      <c r="K999" s="2072"/>
      <c r="L999" s="2072"/>
      <c r="M999" s="2072"/>
      <c r="N999" s="2072"/>
      <c r="O999" s="2072"/>
      <c r="P999" s="2072"/>
      <c r="Q999" s="2072"/>
      <c r="R999" s="2072"/>
      <c r="S999" s="2072"/>
      <c r="T999" s="2072"/>
      <c r="U999" s="2072"/>
      <c r="V999" s="2072"/>
      <c r="W999" s="2072"/>
      <c r="X999" s="2072"/>
      <c r="Y999" s="2072"/>
      <c r="Z999" s="2072"/>
      <c r="AA999" s="2072"/>
      <c r="AB999" s="2072"/>
      <c r="AC999" s="2072"/>
      <c r="AD999" s="2072"/>
      <c r="AE999" s="2073"/>
      <c r="AF999" s="117"/>
      <c r="AG999" s="2100" t="s">
        <v>706</v>
      </c>
      <c r="AH999" s="2101"/>
      <c r="AI999" s="125"/>
      <c r="AJ999" s="2050"/>
      <c r="AK999" s="2051"/>
      <c r="AL999" s="2051"/>
      <c r="AM999" s="2051"/>
      <c r="AN999" s="2051"/>
      <c r="AO999" s="2051"/>
      <c r="AP999" s="2051"/>
      <c r="AQ999" s="2052"/>
      <c r="AR999" s="1487"/>
      <c r="AS999" s="1487"/>
      <c r="AT999" s="1487"/>
      <c r="AU999" s="1487"/>
      <c r="AV999" s="1487"/>
      <c r="AW999" s="1487"/>
      <c r="AX999" s="1487"/>
      <c r="AY999" s="1487"/>
      <c r="BA999" s="320">
        <f>IF(A1056="Yes",0.04,0)</f>
        <v>0</v>
      </c>
      <c r="CR999" s="25"/>
    </row>
    <row r="1000" spans="1:96" ht="12.6">
      <c r="A1000" s="51"/>
      <c r="B1000" s="119"/>
      <c r="C1000" s="122"/>
      <c r="D1000" s="2074"/>
      <c r="E1000" s="2075"/>
      <c r="F1000" s="2075"/>
      <c r="G1000" s="2075"/>
      <c r="H1000" s="2075"/>
      <c r="I1000" s="2075"/>
      <c r="J1000" s="2075"/>
      <c r="K1000" s="2075"/>
      <c r="L1000" s="2075"/>
      <c r="M1000" s="2075"/>
      <c r="N1000" s="2075"/>
      <c r="O1000" s="2075"/>
      <c r="P1000" s="2075"/>
      <c r="Q1000" s="2075"/>
      <c r="R1000" s="2075"/>
      <c r="S1000" s="2075"/>
      <c r="T1000" s="2075"/>
      <c r="U1000" s="2075"/>
      <c r="V1000" s="2075"/>
      <c r="W1000" s="2075"/>
      <c r="X1000" s="2075"/>
      <c r="Y1000" s="2075"/>
      <c r="Z1000" s="2075"/>
      <c r="AA1000" s="2075"/>
      <c r="AB1000" s="2075"/>
      <c r="AC1000" s="2075"/>
      <c r="AD1000" s="2075"/>
      <c r="AE1000" s="2076"/>
      <c r="AF1000" s="2059">
        <f>IF(AG999="yes","Please Select Type and Enter Amount:",0)</f>
        <v>0</v>
      </c>
      <c r="AG1000" s="2060"/>
      <c r="AH1000" s="2060"/>
      <c r="AI1000" s="2061"/>
      <c r="AJ1000" s="2053"/>
      <c r="AK1000" s="2054"/>
      <c r="AL1000" s="2054"/>
      <c r="AM1000" s="2054"/>
      <c r="AN1000" s="2054"/>
      <c r="AO1000" s="2054"/>
      <c r="AP1000" s="2054"/>
      <c r="AQ1000" s="2055"/>
      <c r="AR1000" s="1487"/>
      <c r="AS1000" s="1487"/>
      <c r="AT1000" s="1487"/>
      <c r="AU1000" s="1487"/>
      <c r="AV1000" s="1487"/>
      <c r="AW1000" s="1487"/>
      <c r="AX1000" s="1487"/>
      <c r="AY1000" s="1487"/>
      <c r="BA1000" s="320">
        <f>IF(A1063="Yes",0.04,0)</f>
        <v>0</v>
      </c>
    </row>
    <row r="1001" spans="1:96" ht="12.75" customHeight="1">
      <c r="A1001" s="51"/>
      <c r="B1001" s="119"/>
      <c r="C1001" s="122"/>
      <c r="D1001" s="2077" t="s">
        <v>1530</v>
      </c>
      <c r="E1001" s="2078"/>
      <c r="F1001" s="2078"/>
      <c r="G1001" s="2078"/>
      <c r="H1001" s="2078"/>
      <c r="I1001" s="2078"/>
      <c r="J1001" s="2078"/>
      <c r="K1001" s="2078"/>
      <c r="L1001" s="2078"/>
      <c r="M1001" s="2078"/>
      <c r="N1001" s="2078"/>
      <c r="O1001" s="2078"/>
      <c r="P1001" s="2078"/>
      <c r="Q1001" s="2078"/>
      <c r="R1001" s="2078"/>
      <c r="S1001" s="2078"/>
      <c r="T1001" s="2078"/>
      <c r="U1001" s="2078"/>
      <c r="V1001" s="2078"/>
      <c r="W1001" s="2078"/>
      <c r="X1001" s="2078"/>
      <c r="Y1001" s="2078"/>
      <c r="Z1001" s="2078"/>
      <c r="AA1001" s="2078"/>
      <c r="AB1001" s="2078"/>
      <c r="AC1001" s="2078"/>
      <c r="AD1001" s="2078"/>
      <c r="AE1001" s="2079"/>
      <c r="AF1001" s="2059"/>
      <c r="AG1001" s="2060"/>
      <c r="AH1001" s="2060"/>
      <c r="AI1001" s="2061"/>
      <c r="AJ1001" s="2053"/>
      <c r="AK1001" s="2054"/>
      <c r="AL1001" s="2054"/>
      <c r="AM1001" s="2054"/>
      <c r="AN1001" s="2054"/>
      <c r="AO1001" s="2054"/>
      <c r="AP1001" s="2054"/>
      <c r="AQ1001" s="2055"/>
      <c r="AR1001" s="1487"/>
      <c r="AS1001" s="1487"/>
      <c r="AT1001" s="1487"/>
      <c r="AU1001" s="1487"/>
      <c r="AV1001" s="1487"/>
      <c r="AW1001" s="1487"/>
      <c r="AX1001" s="1487"/>
      <c r="AY1001" s="1487"/>
      <c r="BA1001" s="320">
        <f>IF(A1066="Yes",0.01,0)</f>
        <v>0</v>
      </c>
    </row>
    <row r="1002" spans="1:96" ht="12.75" customHeight="1">
      <c r="A1002" s="51"/>
      <c r="B1002" s="119"/>
      <c r="C1002" s="122"/>
      <c r="D1002" s="2077"/>
      <c r="E1002" s="2078"/>
      <c r="F1002" s="2078"/>
      <c r="G1002" s="2078"/>
      <c r="H1002" s="2078"/>
      <c r="I1002" s="2078"/>
      <c r="J1002" s="2078"/>
      <c r="K1002" s="2078"/>
      <c r="L1002" s="2078"/>
      <c r="M1002" s="2078"/>
      <c r="N1002" s="2078"/>
      <c r="O1002" s="2078"/>
      <c r="P1002" s="2078"/>
      <c r="Q1002" s="2078"/>
      <c r="R1002" s="2078"/>
      <c r="S1002" s="2078"/>
      <c r="T1002" s="2078"/>
      <c r="U1002" s="2078"/>
      <c r="V1002" s="2078"/>
      <c r="W1002" s="2078"/>
      <c r="X1002" s="2078"/>
      <c r="Y1002" s="2078"/>
      <c r="Z1002" s="2078"/>
      <c r="AA1002" s="2078"/>
      <c r="AB1002" s="2078"/>
      <c r="AC1002" s="2078"/>
      <c r="AD1002" s="2078"/>
      <c r="AE1002" s="2079"/>
      <c r="AF1002" s="2059"/>
      <c r="AG1002" s="2060"/>
      <c r="AH1002" s="2060"/>
      <c r="AI1002" s="2061"/>
      <c r="AJ1002" s="2053"/>
      <c r="AK1002" s="2054"/>
      <c r="AL1002" s="2054"/>
      <c r="AM1002" s="2054"/>
      <c r="AN1002" s="2054"/>
      <c r="AO1002" s="2054"/>
      <c r="AP1002" s="2054"/>
      <c r="AQ1002" s="2055"/>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0" t="s">
        <v>626</v>
      </c>
      <c r="K1003" s="2081"/>
      <c r="L1003" s="2081"/>
      <c r="M1003" s="2081"/>
      <c r="N1003" s="2081"/>
      <c r="O1003" s="2081"/>
      <c r="P1003" s="2081"/>
      <c r="Q1003" s="2081"/>
      <c r="R1003" s="2081"/>
      <c r="S1003" s="2081"/>
      <c r="T1003" s="2081"/>
      <c r="U1003" s="2081"/>
      <c r="V1003" s="2081"/>
      <c r="W1003" s="2081"/>
      <c r="X1003" s="2081"/>
      <c r="Y1003" s="2081"/>
      <c r="Z1003" s="2081"/>
      <c r="AA1003" s="2081"/>
      <c r="AB1003" s="2081"/>
      <c r="AC1003" s="2081"/>
      <c r="AD1003" s="2081"/>
      <c r="AE1003" s="2082"/>
      <c r="AF1003" s="2062"/>
      <c r="AG1003" s="2063"/>
      <c r="AH1003" s="2063"/>
      <c r="AI1003" s="2064"/>
      <c r="AJ1003" s="2056"/>
      <c r="AK1003" s="2057"/>
      <c r="AL1003" s="2057"/>
      <c r="AM1003" s="2057"/>
      <c r="AN1003" s="2057"/>
      <c r="AO1003" s="2057"/>
      <c r="AP1003" s="2057"/>
      <c r="AQ1003" s="2058"/>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3" t="s">
        <v>1531</v>
      </c>
      <c r="E1004" s="2084"/>
      <c r="F1004" s="2084"/>
      <c r="G1004" s="2084"/>
      <c r="H1004" s="2084"/>
      <c r="I1004" s="2084"/>
      <c r="J1004" s="2084"/>
      <c r="K1004" s="2084"/>
      <c r="L1004" s="2084"/>
      <c r="M1004" s="2084"/>
      <c r="N1004" s="2084"/>
      <c r="O1004" s="2084"/>
      <c r="P1004" s="2084"/>
      <c r="Q1004" s="2084"/>
      <c r="R1004" s="2084"/>
      <c r="S1004" s="2084"/>
      <c r="T1004" s="2084"/>
      <c r="U1004" s="2084"/>
      <c r="V1004" s="2084"/>
      <c r="W1004" s="2084"/>
      <c r="X1004" s="2084"/>
      <c r="Y1004" s="2084"/>
      <c r="Z1004" s="2084"/>
      <c r="AA1004" s="2084"/>
      <c r="AB1004" s="2084"/>
      <c r="AC1004" s="2084"/>
      <c r="AD1004" s="2084"/>
      <c r="AE1004" s="2085"/>
      <c r="AF1004" s="117"/>
      <c r="AG1004" s="2100" t="s">
        <v>578</v>
      </c>
      <c r="AH1004" s="2101"/>
      <c r="AI1004" s="125"/>
      <c r="AJ1004" s="2050">
        <v>13556525</v>
      </c>
      <c r="AK1004" s="2051"/>
      <c r="AL1004" s="2051"/>
      <c r="AM1004" s="2051"/>
      <c r="AN1004" s="2051"/>
      <c r="AO1004" s="2051"/>
      <c r="AP1004" s="2051"/>
      <c r="AQ1004" s="2052"/>
      <c r="AR1004" s="1487"/>
      <c r="AS1004" s="1487"/>
      <c r="AT1004" s="1487"/>
      <c r="AU1004" s="1487"/>
      <c r="AV1004" s="1487"/>
      <c r="AW1004" s="1487"/>
      <c r="AX1004" s="1487"/>
      <c r="AY1004" s="1487"/>
      <c r="BA1004" s="320">
        <f>IF(A1078="Yes",0.02,0)</f>
        <v>0</v>
      </c>
    </row>
    <row r="1005" spans="1:96" ht="12.75" customHeight="1">
      <c r="A1005" s="51"/>
      <c r="B1005" s="110"/>
      <c r="C1005" s="111"/>
      <c r="D1005" s="2077" t="s">
        <v>2108</v>
      </c>
      <c r="E1005" s="2078"/>
      <c r="F1005" s="2078"/>
      <c r="G1005" s="2078"/>
      <c r="H1005" s="2078"/>
      <c r="I1005" s="2078"/>
      <c r="J1005" s="2078"/>
      <c r="K1005" s="2078"/>
      <c r="L1005" s="2078"/>
      <c r="M1005" s="2078"/>
      <c r="N1005" s="2078"/>
      <c r="O1005" s="2078"/>
      <c r="P1005" s="2078"/>
      <c r="Q1005" s="2078"/>
      <c r="R1005" s="2078"/>
      <c r="S1005" s="2078"/>
      <c r="T1005" s="2078"/>
      <c r="U1005" s="2078"/>
      <c r="V1005" s="2078"/>
      <c r="W1005" s="2078"/>
      <c r="X1005" s="2078"/>
      <c r="Y1005" s="2078"/>
      <c r="Z1005" s="2078"/>
      <c r="AA1005" s="2078"/>
      <c r="AB1005" s="2078"/>
      <c r="AC1005" s="2078"/>
      <c r="AD1005" s="2078"/>
      <c r="AE1005" s="2079"/>
      <c r="AF1005" s="2065" t="str">
        <f>IF(AG1004="yes","Please Enter Amount:",0)</f>
        <v>Please Enter Amount:</v>
      </c>
      <c r="AG1005" s="2066"/>
      <c r="AH1005" s="2066"/>
      <c r="AI1005" s="2067"/>
      <c r="AJ1005" s="2053"/>
      <c r="AK1005" s="2054"/>
      <c r="AL1005" s="2054"/>
      <c r="AM1005" s="2054"/>
      <c r="AN1005" s="2054"/>
      <c r="AO1005" s="2054"/>
      <c r="AP1005" s="2054"/>
      <c r="AQ1005" s="2055"/>
      <c r="AR1005" s="1487"/>
      <c r="AS1005" s="1487"/>
      <c r="AT1005" s="1487"/>
      <c r="AU1005" s="1487"/>
      <c r="AV1005" s="1487"/>
      <c r="AW1005" s="1487"/>
      <c r="AX1005" s="1487"/>
      <c r="AY1005" s="1487"/>
      <c r="BA1005" s="321">
        <f>IF(A1082="Yes",0.02,0)</f>
        <v>0</v>
      </c>
    </row>
    <row r="1006" spans="1:96" ht="12.75" customHeight="1">
      <c r="A1006" s="51"/>
      <c r="B1006" s="110"/>
      <c r="C1006" s="111"/>
      <c r="D1006" s="2077"/>
      <c r="E1006" s="2078"/>
      <c r="F1006" s="2078"/>
      <c r="G1006" s="2078"/>
      <c r="H1006" s="2078"/>
      <c r="I1006" s="2078"/>
      <c r="J1006" s="2078"/>
      <c r="K1006" s="2078"/>
      <c r="L1006" s="2078"/>
      <c r="M1006" s="2078"/>
      <c r="N1006" s="2078"/>
      <c r="O1006" s="2078"/>
      <c r="P1006" s="2078"/>
      <c r="Q1006" s="2078"/>
      <c r="R1006" s="2078"/>
      <c r="S1006" s="2078"/>
      <c r="T1006" s="2078"/>
      <c r="U1006" s="2078"/>
      <c r="V1006" s="2078"/>
      <c r="W1006" s="2078"/>
      <c r="X1006" s="2078"/>
      <c r="Y1006" s="2078"/>
      <c r="Z1006" s="2078"/>
      <c r="AA1006" s="2078"/>
      <c r="AB1006" s="2078"/>
      <c r="AC1006" s="2078"/>
      <c r="AD1006" s="2078"/>
      <c r="AE1006" s="2079"/>
      <c r="AF1006" s="2065"/>
      <c r="AG1006" s="2066"/>
      <c r="AH1006" s="2066"/>
      <c r="AI1006" s="2067"/>
      <c r="AJ1006" s="2053"/>
      <c r="AK1006" s="2054"/>
      <c r="AL1006" s="2054"/>
      <c r="AM1006" s="2054"/>
      <c r="AN1006" s="2054"/>
      <c r="AO1006" s="2054"/>
      <c r="AP1006" s="2054"/>
      <c r="AQ1006" s="2055"/>
      <c r="AR1006" s="1487"/>
      <c r="AS1006" s="1487"/>
      <c r="AT1006" s="1487"/>
      <c r="AU1006" s="1487"/>
      <c r="AV1006" s="1487"/>
      <c r="AW1006" s="1487"/>
      <c r="AX1006" s="1487"/>
      <c r="AY1006" s="1487"/>
    </row>
    <row r="1007" spans="1:96" ht="12.75" customHeight="1">
      <c r="A1007" s="51"/>
      <c r="B1007" s="123"/>
      <c r="C1007" s="122"/>
      <c r="D1007" s="2105"/>
      <c r="E1007" s="2106"/>
      <c r="F1007" s="2106"/>
      <c r="G1007" s="2106"/>
      <c r="H1007" s="2106"/>
      <c r="I1007" s="2106"/>
      <c r="J1007" s="2106"/>
      <c r="K1007" s="2106"/>
      <c r="L1007" s="2106"/>
      <c r="M1007" s="2106"/>
      <c r="N1007" s="2106"/>
      <c r="O1007" s="2106"/>
      <c r="P1007" s="2106"/>
      <c r="Q1007" s="2106"/>
      <c r="R1007" s="2106"/>
      <c r="S1007" s="2106"/>
      <c r="T1007" s="2106"/>
      <c r="U1007" s="2106"/>
      <c r="V1007" s="2106"/>
      <c r="W1007" s="2106"/>
      <c r="X1007" s="2106"/>
      <c r="Y1007" s="2106"/>
      <c r="Z1007" s="2106"/>
      <c r="AA1007" s="2106"/>
      <c r="AB1007" s="2106"/>
      <c r="AC1007" s="2106"/>
      <c r="AD1007" s="2106"/>
      <c r="AE1007" s="2107"/>
      <c r="AF1007" s="2068"/>
      <c r="AG1007" s="2069"/>
      <c r="AH1007" s="2069"/>
      <c r="AI1007" s="2070"/>
      <c r="AJ1007" s="2056"/>
      <c r="AK1007" s="2057"/>
      <c r="AL1007" s="2057"/>
      <c r="AM1007" s="2057"/>
      <c r="AN1007" s="2057"/>
      <c r="AO1007" s="2057"/>
      <c r="AP1007" s="2057"/>
      <c r="AQ1007" s="2058"/>
      <c r="AR1007" s="1487"/>
      <c r="AS1007" s="1487"/>
      <c r="AT1007" s="1487"/>
      <c r="AU1007" s="1487"/>
      <c r="AV1007" s="1487"/>
      <c r="AW1007" s="1487"/>
      <c r="AX1007" s="1487"/>
      <c r="AY1007" s="1487"/>
    </row>
    <row r="1008" spans="1:96" s="717" customFormat="1" ht="12.75" customHeight="1">
      <c r="A1008" s="51"/>
      <c r="B1008" s="117"/>
      <c r="C1008" s="118" t="s">
        <v>240</v>
      </c>
      <c r="D1008" s="2102" t="s">
        <v>1532</v>
      </c>
      <c r="E1008" s="2103"/>
      <c r="F1008" s="2103"/>
      <c r="G1008" s="2103"/>
      <c r="H1008" s="2103"/>
      <c r="I1008" s="2103"/>
      <c r="J1008" s="2103"/>
      <c r="K1008" s="2103"/>
      <c r="L1008" s="2103"/>
      <c r="M1008" s="2103"/>
      <c r="N1008" s="2103"/>
      <c r="O1008" s="2103"/>
      <c r="P1008" s="2103"/>
      <c r="Q1008" s="2103"/>
      <c r="R1008" s="2103"/>
      <c r="S1008" s="2103"/>
      <c r="T1008" s="2103"/>
      <c r="U1008" s="2103"/>
      <c r="V1008" s="2103"/>
      <c r="W1008" s="2103"/>
      <c r="X1008" s="2103"/>
      <c r="Y1008" s="2103"/>
      <c r="Z1008" s="2103"/>
      <c r="AA1008" s="2103"/>
      <c r="AB1008" s="2103"/>
      <c r="AC1008" s="2103"/>
      <c r="AD1008" s="2103"/>
      <c r="AE1008" s="2104"/>
      <c r="AF1008" s="117"/>
      <c r="AG1008" s="2100" t="s">
        <v>706</v>
      </c>
      <c r="AH1008" s="2101"/>
      <c r="AI1008" s="125"/>
      <c r="AJ1008" s="2121">
        <f>ROUND(IF(AG1008="yes",(AJ975*0.1),0),0)</f>
        <v>0</v>
      </c>
      <c r="AK1008" s="2122"/>
      <c r="AL1008" s="2122"/>
      <c r="AM1008" s="2122"/>
      <c r="AN1008" s="2122"/>
      <c r="AO1008" s="2122"/>
      <c r="AP1008" s="2122"/>
      <c r="AQ1008" s="2123"/>
      <c r="AR1008" s="1487"/>
      <c r="AS1008" s="1487"/>
      <c r="AT1008" s="1487"/>
      <c r="AU1008" s="1487"/>
      <c r="AV1008" s="1487"/>
      <c r="AW1008" s="1487"/>
      <c r="AX1008" s="1487"/>
      <c r="AY1008" s="1487"/>
      <c r="CR1008" s="25"/>
    </row>
    <row r="1009" spans="1:96" ht="12.75" customHeight="1">
      <c r="A1009" s="51"/>
      <c r="B1009" s="110"/>
      <c r="C1009" s="111"/>
      <c r="D1009" s="2077" t="s">
        <v>1533</v>
      </c>
      <c r="E1009" s="2078"/>
      <c r="F1009" s="2078"/>
      <c r="G1009" s="2078"/>
      <c r="H1009" s="2078"/>
      <c r="I1009" s="2078"/>
      <c r="J1009" s="2078"/>
      <c r="K1009" s="2078"/>
      <c r="L1009" s="2078"/>
      <c r="M1009" s="2078"/>
      <c r="N1009" s="2078"/>
      <c r="O1009" s="2078"/>
      <c r="P1009" s="2078"/>
      <c r="Q1009" s="2078"/>
      <c r="R1009" s="2078"/>
      <c r="S1009" s="2078"/>
      <c r="T1009" s="2078"/>
      <c r="U1009" s="2078"/>
      <c r="V1009" s="2078"/>
      <c r="W1009" s="2078"/>
      <c r="X1009" s="2078"/>
      <c r="Y1009" s="2078"/>
      <c r="Z1009" s="2078"/>
      <c r="AA1009" s="2078"/>
      <c r="AB1009" s="2078"/>
      <c r="AC1009" s="2078"/>
      <c r="AD1009" s="2078"/>
      <c r="AE1009" s="2079"/>
      <c r="AF1009" s="110"/>
      <c r="AG1009" s="112"/>
      <c r="AH1009" s="112"/>
      <c r="AI1009" s="121"/>
      <c r="AJ1009" s="2124"/>
      <c r="AK1009" s="2125"/>
      <c r="AL1009" s="2125"/>
      <c r="AM1009" s="2125"/>
      <c r="AN1009" s="2125"/>
      <c r="AO1009" s="2125"/>
      <c r="AP1009" s="2125"/>
      <c r="AQ1009" s="2126"/>
      <c r="AR1009" s="1487"/>
      <c r="AS1009" s="1487"/>
      <c r="AT1009" s="1487"/>
      <c r="AU1009" s="1487"/>
      <c r="AV1009" s="1487"/>
      <c r="AW1009" s="1487"/>
      <c r="AX1009" s="1487"/>
      <c r="AY1009" s="1487"/>
    </row>
    <row r="1010" spans="1:96" ht="12.75" customHeight="1">
      <c r="A1010" s="51"/>
      <c r="B1010" s="115"/>
      <c r="C1010" s="111"/>
      <c r="D1010" s="2105"/>
      <c r="E1010" s="2106"/>
      <c r="F1010" s="2106"/>
      <c r="G1010" s="2106"/>
      <c r="H1010" s="2106"/>
      <c r="I1010" s="2106"/>
      <c r="J1010" s="2106"/>
      <c r="K1010" s="2106"/>
      <c r="L1010" s="2106"/>
      <c r="M1010" s="2106"/>
      <c r="N1010" s="2106"/>
      <c r="O1010" s="2106"/>
      <c r="P1010" s="2106"/>
      <c r="Q1010" s="2106"/>
      <c r="R1010" s="2106"/>
      <c r="S1010" s="2106"/>
      <c r="T1010" s="2106"/>
      <c r="U1010" s="2106"/>
      <c r="V1010" s="2106"/>
      <c r="W1010" s="2106"/>
      <c r="X1010" s="2106"/>
      <c r="Y1010" s="2106"/>
      <c r="Z1010" s="2106"/>
      <c r="AA1010" s="2106"/>
      <c r="AB1010" s="2106"/>
      <c r="AC1010" s="2106"/>
      <c r="AD1010" s="2106"/>
      <c r="AE1010" s="2107"/>
      <c r="AF1010" s="110"/>
      <c r="AG1010" s="112"/>
      <c r="AH1010" s="112"/>
      <c r="AI1010" s="121"/>
      <c r="AJ1010" s="2127"/>
      <c r="AK1010" s="2128"/>
      <c r="AL1010" s="2128"/>
      <c r="AM1010" s="2128"/>
      <c r="AN1010" s="2128"/>
      <c r="AO1010" s="2128"/>
      <c r="AP1010" s="2128"/>
      <c r="AQ1010" s="2129"/>
      <c r="AR1010" s="1487"/>
      <c r="AS1010" s="1487"/>
      <c r="AT1010" s="1487"/>
      <c r="AU1010" s="1487"/>
      <c r="AV1010" s="1487"/>
      <c r="AW1010" s="1487"/>
      <c r="AX1010" s="1487"/>
      <c r="AY1010" s="1487"/>
    </row>
    <row r="1011" spans="1:96" s="717" customFormat="1" ht="12.75" customHeight="1">
      <c r="A1011" s="51"/>
      <c r="B1011" s="110"/>
      <c r="C1011" s="529" t="s">
        <v>725</v>
      </c>
      <c r="D1011" s="2083" t="s">
        <v>2104</v>
      </c>
      <c r="E1011" s="2084"/>
      <c r="F1011" s="2084"/>
      <c r="G1011" s="2084"/>
      <c r="H1011" s="2084"/>
      <c r="I1011" s="2084"/>
      <c r="J1011" s="2084"/>
      <c r="K1011" s="2084"/>
      <c r="L1011" s="2084"/>
      <c r="M1011" s="2084"/>
      <c r="N1011" s="2084"/>
      <c r="O1011" s="2084"/>
      <c r="P1011" s="2084"/>
      <c r="Q1011" s="2084"/>
      <c r="R1011" s="2084"/>
      <c r="S1011" s="2084"/>
      <c r="T1011" s="2084"/>
      <c r="U1011" s="2084"/>
      <c r="V1011" s="2084"/>
      <c r="W1011" s="2084"/>
      <c r="X1011" s="2084"/>
      <c r="Y1011" s="2084"/>
      <c r="Z1011" s="2084"/>
      <c r="AA1011" s="2084"/>
      <c r="AB1011" s="2084"/>
      <c r="AC1011" s="2084"/>
      <c r="AD1011" s="2084"/>
      <c r="AE1011" s="2085"/>
      <c r="AF1011" s="117"/>
      <c r="AG1011" s="2100" t="s">
        <v>706</v>
      </c>
      <c r="AH1011" s="2101"/>
      <c r="AI1011" s="125"/>
      <c r="AJ1011" s="2121">
        <f>ROUND(IF(AG1011="yes",(AJ975*0.15),0),0)</f>
        <v>0</v>
      </c>
      <c r="AK1011" s="2122"/>
      <c r="AL1011" s="2122"/>
      <c r="AM1011" s="2122"/>
      <c r="AN1011" s="2122"/>
      <c r="AO1011" s="2122"/>
      <c r="AP1011" s="2122"/>
      <c r="AQ1011" s="2123"/>
      <c r="AR1011" s="1487"/>
      <c r="AS1011" s="1487"/>
      <c r="AT1011" s="1487"/>
      <c r="AU1011" s="1487"/>
      <c r="AV1011" s="1487"/>
      <c r="AW1011" s="1487"/>
      <c r="AX1011" s="1487"/>
      <c r="AY1011" s="1487"/>
      <c r="CR1011" s="25"/>
    </row>
    <row r="1012" spans="1:96" s="717" customFormat="1" ht="12.75" customHeight="1">
      <c r="A1012" s="51"/>
      <c r="B1012" s="110"/>
      <c r="C1012" s="111"/>
      <c r="D1012" s="2115" t="s">
        <v>2105</v>
      </c>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7"/>
      <c r="AF1012" s="1517"/>
      <c r="AG1012" s="1518"/>
      <c r="AH1012" s="1518"/>
      <c r="AI1012" s="1519"/>
      <c r="AJ1012" s="2124"/>
      <c r="AK1012" s="2125"/>
      <c r="AL1012" s="2125"/>
      <c r="AM1012" s="2125"/>
      <c r="AN1012" s="2125"/>
      <c r="AO1012" s="2125"/>
      <c r="AP1012" s="2125"/>
      <c r="AQ1012" s="2126"/>
      <c r="AR1012" s="1487"/>
      <c r="AS1012" s="1487"/>
      <c r="AT1012" s="1487"/>
      <c r="AU1012" s="1487"/>
      <c r="AV1012" s="1487"/>
      <c r="AW1012" s="1487"/>
      <c r="AX1012" s="1487"/>
      <c r="AY1012" s="1487"/>
      <c r="CR1012" s="25"/>
    </row>
    <row r="1013" spans="1:96" s="717" customFormat="1" ht="12.75" customHeight="1">
      <c r="A1013" s="51"/>
      <c r="B1013" s="110"/>
      <c r="C1013" s="111"/>
      <c r="D1013" s="2115"/>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7"/>
      <c r="AF1013" s="1517"/>
      <c r="AG1013" s="1518"/>
      <c r="AH1013" s="1518"/>
      <c r="AI1013" s="1519"/>
      <c r="AJ1013" s="2124"/>
      <c r="AK1013" s="2125"/>
      <c r="AL1013" s="2125"/>
      <c r="AM1013" s="2125"/>
      <c r="AN1013" s="2125"/>
      <c r="AO1013" s="2125"/>
      <c r="AP1013" s="2125"/>
      <c r="AQ1013" s="2126"/>
      <c r="AR1013" s="1487"/>
      <c r="AS1013" s="1487"/>
      <c r="AT1013" s="1487"/>
      <c r="AU1013" s="1487"/>
      <c r="AV1013" s="1487"/>
      <c r="AW1013" s="1487"/>
      <c r="AX1013" s="1487"/>
      <c r="AY1013" s="1487"/>
      <c r="CR1013" s="25"/>
    </row>
    <row r="1014" spans="1:96" s="717" customFormat="1" ht="12.75" customHeight="1">
      <c r="A1014" s="51"/>
      <c r="B1014" s="110"/>
      <c r="C1014" s="111"/>
      <c r="D1014" s="2118"/>
      <c r="E1014" s="2119"/>
      <c r="F1014" s="2119"/>
      <c r="G1014" s="2119"/>
      <c r="H1014" s="2119"/>
      <c r="I1014" s="2119"/>
      <c r="J1014" s="2119"/>
      <c r="K1014" s="2119"/>
      <c r="L1014" s="2119"/>
      <c r="M1014" s="2119"/>
      <c r="N1014" s="2119"/>
      <c r="O1014" s="2119"/>
      <c r="P1014" s="2119"/>
      <c r="Q1014" s="2119"/>
      <c r="R1014" s="2119"/>
      <c r="S1014" s="2119"/>
      <c r="T1014" s="2119"/>
      <c r="U1014" s="2119"/>
      <c r="V1014" s="2119"/>
      <c r="W1014" s="2119"/>
      <c r="X1014" s="2119"/>
      <c r="Y1014" s="2119"/>
      <c r="Z1014" s="2119"/>
      <c r="AA1014" s="2119"/>
      <c r="AB1014" s="2119"/>
      <c r="AC1014" s="2119"/>
      <c r="AD1014" s="2119"/>
      <c r="AE1014" s="2120"/>
      <c r="AF1014" s="1520"/>
      <c r="AG1014" s="1521"/>
      <c r="AH1014" s="1521"/>
      <c r="AI1014" s="1522"/>
      <c r="AJ1014" s="2127"/>
      <c r="AK1014" s="2128"/>
      <c r="AL1014" s="2128"/>
      <c r="AM1014" s="2128"/>
      <c r="AN1014" s="2128"/>
      <c r="AO1014" s="2128"/>
      <c r="AP1014" s="2128"/>
      <c r="AQ1014" s="2129"/>
      <c r="AR1014" s="1487"/>
      <c r="AS1014" s="1487"/>
      <c r="AT1014" s="1487"/>
      <c r="AU1014" s="1487"/>
      <c r="AV1014" s="1487"/>
      <c r="AW1014" s="1487"/>
      <c r="AX1014" s="1487"/>
      <c r="AY1014" s="1487"/>
      <c r="CR1014" s="25"/>
    </row>
    <row r="1015" spans="1:96" s="717" customFormat="1" ht="12.75" customHeight="1">
      <c r="A1015" s="51"/>
      <c r="B1015" s="110"/>
      <c r="C1015" s="529" t="s">
        <v>725</v>
      </c>
      <c r="D1015" s="2102" t="s">
        <v>2106</v>
      </c>
      <c r="E1015" s="2103"/>
      <c r="F1015" s="2103"/>
      <c r="G1015" s="2103"/>
      <c r="H1015" s="2103"/>
      <c r="I1015" s="2103"/>
      <c r="J1015" s="2103"/>
      <c r="K1015" s="2103"/>
      <c r="L1015" s="2103"/>
      <c r="M1015" s="2103"/>
      <c r="N1015" s="2103"/>
      <c r="O1015" s="2103"/>
      <c r="P1015" s="2103"/>
      <c r="Q1015" s="2103"/>
      <c r="R1015" s="2103"/>
      <c r="S1015" s="2103"/>
      <c r="T1015" s="2103"/>
      <c r="U1015" s="2103"/>
      <c r="V1015" s="2103"/>
      <c r="W1015" s="2103"/>
      <c r="X1015" s="2103"/>
      <c r="Y1015" s="2103"/>
      <c r="Z1015" s="2103"/>
      <c r="AA1015" s="2103"/>
      <c r="AB1015" s="2103"/>
      <c r="AC1015" s="2103"/>
      <c r="AD1015" s="2103"/>
      <c r="AE1015" s="2104"/>
      <c r="AF1015" s="110"/>
      <c r="AG1015" s="2191" t="s">
        <v>706</v>
      </c>
      <c r="AH1015" s="2192"/>
      <c r="AI1015" s="121"/>
      <c r="AJ1015" s="2121">
        <f>ROUND(IF(AG1015="yes",(AJ975*0.1),0),0)</f>
        <v>0</v>
      </c>
      <c r="AK1015" s="2122"/>
      <c r="AL1015" s="2122"/>
      <c r="AM1015" s="2122"/>
      <c r="AN1015" s="2122"/>
      <c r="AO1015" s="2122"/>
      <c r="AP1015" s="2122"/>
      <c r="AQ1015" s="2123"/>
      <c r="AR1015" s="1487"/>
      <c r="AS1015" s="1487"/>
      <c r="AT1015" s="1487"/>
      <c r="AU1015" s="1487"/>
      <c r="AV1015" s="1487"/>
      <c r="AW1015" s="1487"/>
      <c r="AX1015" s="1487"/>
      <c r="AY1015" s="1487"/>
      <c r="CR1015" s="25"/>
    </row>
    <row r="1016" spans="1:96" s="717" customFormat="1" ht="12.75" customHeight="1">
      <c r="A1016" s="51"/>
      <c r="B1016" s="110"/>
      <c r="C1016" s="111"/>
      <c r="D1016" s="2115" t="s">
        <v>2107</v>
      </c>
      <c r="E1016" s="2116"/>
      <c r="F1016" s="2116"/>
      <c r="G1016" s="2116"/>
      <c r="H1016" s="2116"/>
      <c r="I1016" s="2116"/>
      <c r="J1016" s="2116"/>
      <c r="K1016" s="2116"/>
      <c r="L1016" s="2116"/>
      <c r="M1016" s="2116"/>
      <c r="N1016" s="2116"/>
      <c r="O1016" s="2116"/>
      <c r="P1016" s="2116"/>
      <c r="Q1016" s="2116"/>
      <c r="R1016" s="2116"/>
      <c r="S1016" s="2116"/>
      <c r="T1016" s="2116"/>
      <c r="U1016" s="2116"/>
      <c r="V1016" s="2116"/>
      <c r="W1016" s="2116"/>
      <c r="X1016" s="2116"/>
      <c r="Y1016" s="2116"/>
      <c r="Z1016" s="2116"/>
      <c r="AA1016" s="2116"/>
      <c r="AB1016" s="2116"/>
      <c r="AC1016" s="2116"/>
      <c r="AD1016" s="2116"/>
      <c r="AE1016" s="2117"/>
      <c r="AF1016" s="110"/>
      <c r="AG1016" s="112"/>
      <c r="AH1016" s="112"/>
      <c r="AI1016" s="121"/>
      <c r="AJ1016" s="2124"/>
      <c r="AK1016" s="2125"/>
      <c r="AL1016" s="2125"/>
      <c r="AM1016" s="2125"/>
      <c r="AN1016" s="2125"/>
      <c r="AO1016" s="2125"/>
      <c r="AP1016" s="2125"/>
      <c r="AQ1016" s="2126"/>
      <c r="AR1016" s="1487"/>
      <c r="AS1016" s="1487"/>
      <c r="AT1016" s="1487"/>
      <c r="AU1016" s="1487"/>
      <c r="AV1016" s="1487"/>
      <c r="AW1016" s="1487"/>
      <c r="AX1016" s="1487"/>
      <c r="AY1016" s="1487"/>
      <c r="CR1016" s="25"/>
    </row>
    <row r="1017" spans="1:96" s="717" customFormat="1" ht="12.75" customHeight="1">
      <c r="A1017" s="51"/>
      <c r="B1017" s="110"/>
      <c r="C1017" s="111"/>
      <c r="D1017" s="2115"/>
      <c r="E1017" s="2116"/>
      <c r="F1017" s="2116"/>
      <c r="G1017" s="2116"/>
      <c r="H1017" s="2116"/>
      <c r="I1017" s="2116"/>
      <c r="J1017" s="2116"/>
      <c r="K1017" s="2116"/>
      <c r="L1017" s="2116"/>
      <c r="M1017" s="2116"/>
      <c r="N1017" s="2116"/>
      <c r="O1017" s="2116"/>
      <c r="P1017" s="2116"/>
      <c r="Q1017" s="2116"/>
      <c r="R1017" s="2116"/>
      <c r="S1017" s="2116"/>
      <c r="T1017" s="2116"/>
      <c r="U1017" s="2116"/>
      <c r="V1017" s="2116"/>
      <c r="W1017" s="2116"/>
      <c r="X1017" s="2116"/>
      <c r="Y1017" s="2116"/>
      <c r="Z1017" s="2116"/>
      <c r="AA1017" s="2116"/>
      <c r="AB1017" s="2116"/>
      <c r="AC1017" s="2116"/>
      <c r="AD1017" s="2116"/>
      <c r="AE1017" s="2117"/>
      <c r="AF1017" s="110"/>
      <c r="AG1017" s="112"/>
      <c r="AH1017" s="112"/>
      <c r="AI1017" s="121"/>
      <c r="AJ1017" s="2124"/>
      <c r="AK1017" s="2125"/>
      <c r="AL1017" s="2125"/>
      <c r="AM1017" s="2125"/>
      <c r="AN1017" s="2125"/>
      <c r="AO1017" s="2125"/>
      <c r="AP1017" s="2125"/>
      <c r="AQ1017" s="2126"/>
      <c r="AR1017" s="1487"/>
      <c r="AS1017" s="1487"/>
      <c r="AT1017" s="1487"/>
      <c r="AU1017" s="1487"/>
      <c r="AV1017" s="1487"/>
      <c r="AW1017" s="1487"/>
      <c r="AX1017" s="1487"/>
      <c r="AY1017" s="1487"/>
      <c r="CR1017" s="25"/>
    </row>
    <row r="1018" spans="1:96" s="717" customFormat="1" ht="12.75" customHeight="1">
      <c r="A1018" s="51"/>
      <c r="B1018" s="110"/>
      <c r="C1018" s="111"/>
      <c r="D1018" s="2115"/>
      <c r="E1018" s="2116"/>
      <c r="F1018" s="2116"/>
      <c r="G1018" s="2116"/>
      <c r="H1018" s="2116"/>
      <c r="I1018" s="2116"/>
      <c r="J1018" s="2116"/>
      <c r="K1018" s="2116"/>
      <c r="L1018" s="2116"/>
      <c r="M1018" s="2116"/>
      <c r="N1018" s="2116"/>
      <c r="O1018" s="2116"/>
      <c r="P1018" s="2116"/>
      <c r="Q1018" s="2116"/>
      <c r="R1018" s="2116"/>
      <c r="S1018" s="2116"/>
      <c r="T1018" s="2116"/>
      <c r="U1018" s="2116"/>
      <c r="V1018" s="2116"/>
      <c r="W1018" s="2116"/>
      <c r="X1018" s="2116"/>
      <c r="Y1018" s="2116"/>
      <c r="Z1018" s="2116"/>
      <c r="AA1018" s="2116"/>
      <c r="AB1018" s="2116"/>
      <c r="AC1018" s="2116"/>
      <c r="AD1018" s="2116"/>
      <c r="AE1018" s="2117"/>
      <c r="AF1018" s="110"/>
      <c r="AG1018" s="112"/>
      <c r="AH1018" s="112"/>
      <c r="AI1018" s="121"/>
      <c r="AJ1018" s="2124"/>
      <c r="AK1018" s="2125"/>
      <c r="AL1018" s="2125"/>
      <c r="AM1018" s="2125"/>
      <c r="AN1018" s="2125"/>
      <c r="AO1018" s="2125"/>
      <c r="AP1018" s="2125"/>
      <c r="AQ1018" s="2126"/>
      <c r="AR1018" s="1487"/>
      <c r="AS1018" s="1487"/>
      <c r="AT1018" s="1487"/>
      <c r="AU1018" s="1487"/>
      <c r="AV1018" s="1487"/>
      <c r="AW1018" s="1487"/>
      <c r="AX1018" s="1487"/>
      <c r="AY1018" s="1487"/>
      <c r="CR1018" s="25"/>
    </row>
    <row r="1019" spans="1:96" s="717" customFormat="1" ht="12.75" customHeight="1">
      <c r="A1019" s="51"/>
      <c r="B1019" s="110"/>
      <c r="C1019" s="111"/>
      <c r="D1019" s="2118"/>
      <c r="E1019" s="2119"/>
      <c r="F1019" s="2119"/>
      <c r="G1019" s="2119"/>
      <c r="H1019" s="2119"/>
      <c r="I1019" s="2119"/>
      <c r="J1019" s="2119"/>
      <c r="K1019" s="2119"/>
      <c r="L1019" s="2119"/>
      <c r="M1019" s="2119"/>
      <c r="N1019" s="2119"/>
      <c r="O1019" s="2119"/>
      <c r="P1019" s="2119"/>
      <c r="Q1019" s="2119"/>
      <c r="R1019" s="2119"/>
      <c r="S1019" s="2119"/>
      <c r="T1019" s="2119"/>
      <c r="U1019" s="2119"/>
      <c r="V1019" s="2119"/>
      <c r="W1019" s="2119"/>
      <c r="X1019" s="2119"/>
      <c r="Y1019" s="2119"/>
      <c r="Z1019" s="2119"/>
      <c r="AA1019" s="2119"/>
      <c r="AB1019" s="2119"/>
      <c r="AC1019" s="2119"/>
      <c r="AD1019" s="2119"/>
      <c r="AE1019" s="2120"/>
      <c r="AF1019" s="110"/>
      <c r="AG1019" s="112"/>
      <c r="AH1019" s="112"/>
      <c r="AI1019" s="121"/>
      <c r="AJ1019" s="2124"/>
      <c r="AK1019" s="2125"/>
      <c r="AL1019" s="2125"/>
      <c r="AM1019" s="2125"/>
      <c r="AN1019" s="2125"/>
      <c r="AO1019" s="2125"/>
      <c r="AP1019" s="2125"/>
      <c r="AQ1019" s="2126"/>
      <c r="AR1019" s="1487"/>
      <c r="AS1019" s="1487"/>
      <c r="AT1019" s="1487"/>
      <c r="AU1019" s="1487"/>
      <c r="AV1019" s="1487"/>
      <c r="AW1019" s="1487"/>
      <c r="AX1019" s="1487"/>
      <c r="AY1019" s="1487"/>
      <c r="CR1019" s="25"/>
    </row>
    <row r="1020" spans="1:96" s="717" customFormat="1" ht="12.75" customHeight="1">
      <c r="A1020" s="51"/>
      <c r="B1020" s="117"/>
      <c r="C1020" s="198" t="s">
        <v>1113</v>
      </c>
      <c r="D1020" s="2083" t="s">
        <v>1534</v>
      </c>
      <c r="E1020" s="2084"/>
      <c r="F1020" s="2084"/>
      <c r="G1020" s="2084"/>
      <c r="H1020" s="2084"/>
      <c r="I1020" s="2084"/>
      <c r="J1020" s="2084"/>
      <c r="K1020" s="2084"/>
      <c r="L1020" s="2084"/>
      <c r="M1020" s="2084"/>
      <c r="N1020" s="2084"/>
      <c r="O1020" s="2084"/>
      <c r="P1020" s="2084"/>
      <c r="Q1020" s="2084"/>
      <c r="R1020" s="2084"/>
      <c r="S1020" s="2084"/>
      <c r="T1020" s="2084"/>
      <c r="U1020" s="2084"/>
      <c r="V1020" s="2084"/>
      <c r="W1020" s="2084"/>
      <c r="X1020" s="2084"/>
      <c r="Y1020" s="2084"/>
      <c r="Z1020" s="2084"/>
      <c r="AA1020" s="2084"/>
      <c r="AB1020" s="2084"/>
      <c r="AC1020" s="2084"/>
      <c r="AD1020" s="2084"/>
      <c r="AE1020" s="2085"/>
      <c r="AF1020" s="117"/>
      <c r="AG1020" s="2100" t="s">
        <v>578</v>
      </c>
      <c r="AH1020" s="2101"/>
      <c r="AI1020" s="125"/>
      <c r="AJ1020" s="2121">
        <f>ROUND(IF(AG1020="yes",(AJ975*0.1),0),0)</f>
        <v>11037023</v>
      </c>
      <c r="AK1020" s="2122"/>
      <c r="AL1020" s="2122"/>
      <c r="AM1020" s="2122"/>
      <c r="AN1020" s="2122"/>
      <c r="AO1020" s="2122"/>
      <c r="AP1020" s="2122"/>
      <c r="AQ1020" s="2123"/>
      <c r="AR1020" s="1487"/>
      <c r="AS1020" s="1487"/>
      <c r="AT1020" s="1487"/>
      <c r="AU1020" s="1487"/>
      <c r="AV1020" s="1487"/>
      <c r="AW1020" s="1487"/>
      <c r="AX1020" s="1487"/>
      <c r="AY1020" s="1487"/>
      <c r="CR1020" s="25"/>
    </row>
    <row r="1021" spans="1:96" ht="12.75" customHeight="1">
      <c r="A1021" s="51"/>
      <c r="B1021" s="110"/>
      <c r="C1021" s="111"/>
      <c r="D1021" s="2077" t="s">
        <v>1535</v>
      </c>
      <c r="E1021" s="2078"/>
      <c r="F1021" s="2078"/>
      <c r="G1021" s="2078"/>
      <c r="H1021" s="2078"/>
      <c r="I1021" s="2078"/>
      <c r="J1021" s="2078"/>
      <c r="K1021" s="2078"/>
      <c r="L1021" s="2078"/>
      <c r="M1021" s="2078"/>
      <c r="N1021" s="2078"/>
      <c r="O1021" s="2078"/>
      <c r="P1021" s="2078"/>
      <c r="Q1021" s="2078"/>
      <c r="R1021" s="2078"/>
      <c r="S1021" s="2078"/>
      <c r="T1021" s="2078"/>
      <c r="U1021" s="2078"/>
      <c r="V1021" s="2078"/>
      <c r="W1021" s="2078"/>
      <c r="X1021" s="2078"/>
      <c r="Y1021" s="2078"/>
      <c r="Z1021" s="2078"/>
      <c r="AA1021" s="2078"/>
      <c r="AB1021" s="2078"/>
      <c r="AC1021" s="2078"/>
      <c r="AD1021" s="2078"/>
      <c r="AE1021" s="2079"/>
      <c r="AF1021" s="110"/>
      <c r="AG1021" s="112"/>
      <c r="AH1021" s="112"/>
      <c r="AI1021" s="121"/>
      <c r="AJ1021" s="2124"/>
      <c r="AK1021" s="2125"/>
      <c r="AL1021" s="2125"/>
      <c r="AM1021" s="2125"/>
      <c r="AN1021" s="2125"/>
      <c r="AO1021" s="2125"/>
      <c r="AP1021" s="2125"/>
      <c r="AQ1021" s="2126"/>
      <c r="AR1021" s="1487"/>
      <c r="AS1021" s="1487"/>
      <c r="AT1021" s="1487"/>
      <c r="AU1021" s="1487"/>
      <c r="AV1021" s="1487"/>
      <c r="AW1021" s="1487"/>
      <c r="AX1021" s="1487"/>
      <c r="AY1021" s="1487"/>
    </row>
    <row r="1022" spans="1:96" ht="12.75" customHeight="1">
      <c r="A1022" s="51"/>
      <c r="B1022" s="110"/>
      <c r="C1022" s="111"/>
      <c r="D1022" s="2077"/>
      <c r="E1022" s="2078"/>
      <c r="F1022" s="2078"/>
      <c r="G1022" s="2078"/>
      <c r="H1022" s="2078"/>
      <c r="I1022" s="2078"/>
      <c r="J1022" s="2078"/>
      <c r="K1022" s="2078"/>
      <c r="L1022" s="2078"/>
      <c r="M1022" s="2078"/>
      <c r="N1022" s="2078"/>
      <c r="O1022" s="2078"/>
      <c r="P1022" s="2078"/>
      <c r="Q1022" s="2078"/>
      <c r="R1022" s="2078"/>
      <c r="S1022" s="2078"/>
      <c r="T1022" s="2078"/>
      <c r="U1022" s="2078"/>
      <c r="V1022" s="2078"/>
      <c r="W1022" s="2078"/>
      <c r="X1022" s="2078"/>
      <c r="Y1022" s="2078"/>
      <c r="Z1022" s="2078"/>
      <c r="AA1022" s="2078"/>
      <c r="AB1022" s="2078"/>
      <c r="AC1022" s="2078"/>
      <c r="AD1022" s="2078"/>
      <c r="AE1022" s="2079"/>
      <c r="AF1022" s="110"/>
      <c r="AG1022" s="112"/>
      <c r="AH1022" s="112"/>
      <c r="AI1022" s="121"/>
      <c r="AJ1022" s="2124"/>
      <c r="AK1022" s="2125"/>
      <c r="AL1022" s="2125"/>
      <c r="AM1022" s="2125"/>
      <c r="AN1022" s="2125"/>
      <c r="AO1022" s="2125"/>
      <c r="AP1022" s="2125"/>
      <c r="AQ1022" s="2126"/>
      <c r="AR1022" s="1487"/>
      <c r="AS1022" s="1487"/>
      <c r="AT1022" s="1487"/>
      <c r="AU1022" s="1487"/>
      <c r="AV1022" s="1487"/>
      <c r="AW1022" s="1487"/>
      <c r="AX1022" s="1487"/>
      <c r="AY1022" s="1487"/>
    </row>
    <row r="1023" spans="1:96" s="680" customFormat="1" ht="12.75" customHeight="1">
      <c r="A1023" s="51"/>
      <c r="B1023" s="110"/>
      <c r="C1023" s="111"/>
      <c r="D1023" s="2105"/>
      <c r="E1023" s="2106"/>
      <c r="F1023" s="2106"/>
      <c r="G1023" s="2106"/>
      <c r="H1023" s="2106"/>
      <c r="I1023" s="2106"/>
      <c r="J1023" s="2106"/>
      <c r="K1023" s="2106"/>
      <c r="L1023" s="2106"/>
      <c r="M1023" s="2106"/>
      <c r="N1023" s="2106"/>
      <c r="O1023" s="2106"/>
      <c r="P1023" s="2106"/>
      <c r="Q1023" s="2106"/>
      <c r="R1023" s="2106"/>
      <c r="S1023" s="2106"/>
      <c r="T1023" s="2106"/>
      <c r="U1023" s="2106"/>
      <c r="V1023" s="2106"/>
      <c r="W1023" s="2106"/>
      <c r="X1023" s="2106"/>
      <c r="Y1023" s="2106"/>
      <c r="Z1023" s="2106"/>
      <c r="AA1023" s="2106"/>
      <c r="AB1023" s="2106"/>
      <c r="AC1023" s="2106"/>
      <c r="AD1023" s="2106"/>
      <c r="AE1023" s="2107"/>
      <c r="AF1023" s="110"/>
      <c r="AG1023" s="112"/>
      <c r="AH1023" s="112"/>
      <c r="AI1023" s="121"/>
      <c r="AJ1023" s="2127"/>
      <c r="AK1023" s="2128"/>
      <c r="AL1023" s="2128"/>
      <c r="AM1023" s="2128"/>
      <c r="AN1023" s="2128"/>
      <c r="AO1023" s="2128"/>
      <c r="AP1023" s="2128"/>
      <c r="AQ1023" s="2129"/>
      <c r="AR1023" s="1487"/>
      <c r="AS1023" s="1487"/>
      <c r="AT1023" s="1487"/>
      <c r="AU1023" s="1487"/>
      <c r="AV1023" s="1487"/>
      <c r="AW1023" s="1487"/>
      <c r="AX1023" s="1487"/>
      <c r="AY1023" s="1487"/>
      <c r="CR1023" s="25"/>
    </row>
    <row r="1024" spans="1:96" ht="12.75" customHeight="1">
      <c r="A1024" s="51"/>
      <c r="B1024" s="117"/>
      <c r="C1024" s="198" t="s">
        <v>2102</v>
      </c>
      <c r="D1024" s="2102" t="s">
        <v>2308</v>
      </c>
      <c r="E1024" s="2103"/>
      <c r="F1024" s="2103"/>
      <c r="G1024" s="2103"/>
      <c r="H1024" s="2103"/>
      <c r="I1024" s="2103"/>
      <c r="J1024" s="2103"/>
      <c r="K1024" s="2103"/>
      <c r="L1024" s="2103"/>
      <c r="M1024" s="2103"/>
      <c r="N1024" s="2103"/>
      <c r="O1024" s="2103"/>
      <c r="P1024" s="2103"/>
      <c r="Q1024" s="2103"/>
      <c r="R1024" s="2103"/>
      <c r="S1024" s="2103"/>
      <c r="T1024" s="2103"/>
      <c r="U1024" s="2103"/>
      <c r="V1024" s="2103"/>
      <c r="W1024" s="2103"/>
      <c r="X1024" s="2103"/>
      <c r="Y1024" s="2103"/>
      <c r="Z1024" s="2103"/>
      <c r="AA1024" s="2103"/>
      <c r="AB1024" s="2103"/>
      <c r="AC1024" s="2103"/>
      <c r="AD1024" s="2103"/>
      <c r="AE1024" s="2104"/>
      <c r="AF1024" s="117"/>
      <c r="AG1024" s="2189" t="str">
        <f>IF(X1027&gt;0,"Yes","No")</f>
        <v>Yes</v>
      </c>
      <c r="AH1024" s="2190"/>
      <c r="AI1024" s="125"/>
      <c r="AJ1024" s="2193">
        <f>IF((X1027=0),0,BA989*AJ975)</f>
        <v>11037022.700000001</v>
      </c>
      <c r="AK1024" s="2194"/>
      <c r="AL1024" s="2194"/>
      <c r="AM1024" s="2194"/>
      <c r="AN1024" s="2194"/>
      <c r="AO1024" s="2194"/>
      <c r="AP1024" s="2194"/>
      <c r="AQ1024" s="2195"/>
      <c r="AR1024" s="1487"/>
      <c r="AS1024" s="1487"/>
      <c r="AT1024" s="1487"/>
      <c r="AU1024" s="1487"/>
      <c r="AV1024" s="1487"/>
      <c r="AW1024" s="1487"/>
      <c r="AX1024" s="1487"/>
      <c r="AY1024" s="1487"/>
    </row>
    <row r="1025" spans="1:96" ht="12.75" customHeight="1">
      <c r="A1025" s="51"/>
      <c r="B1025" s="110"/>
      <c r="C1025" s="700"/>
      <c r="D1025" s="2077" t="s">
        <v>1537</v>
      </c>
      <c r="E1025" s="2078"/>
      <c r="F1025" s="2078"/>
      <c r="G1025" s="2078"/>
      <c r="H1025" s="2078"/>
      <c r="I1025" s="2078"/>
      <c r="J1025" s="2078"/>
      <c r="K1025" s="2078"/>
      <c r="L1025" s="2078"/>
      <c r="M1025" s="2078"/>
      <c r="N1025" s="2078"/>
      <c r="O1025" s="2078"/>
      <c r="P1025" s="2078"/>
      <c r="Q1025" s="2078"/>
      <c r="R1025" s="2078"/>
      <c r="S1025" s="2078"/>
      <c r="T1025" s="2078"/>
      <c r="U1025" s="2078"/>
      <c r="V1025" s="2078"/>
      <c r="W1025" s="2078"/>
      <c r="X1025" s="2078"/>
      <c r="Y1025" s="2078"/>
      <c r="Z1025" s="2078"/>
      <c r="AA1025" s="2078"/>
      <c r="AB1025" s="2078"/>
      <c r="AC1025" s="2078"/>
      <c r="AD1025" s="2078"/>
      <c r="AE1025" s="2079"/>
      <c r="AF1025" s="110"/>
      <c r="AG1025" s="701"/>
      <c r="AH1025" s="701"/>
      <c r="AI1025" s="121"/>
      <c r="AJ1025" s="2196"/>
      <c r="AK1025" s="2197"/>
      <c r="AL1025" s="2197"/>
      <c r="AM1025" s="2197"/>
      <c r="AN1025" s="2197"/>
      <c r="AO1025" s="2197"/>
      <c r="AP1025" s="2197"/>
      <c r="AQ1025" s="2198"/>
      <c r="AR1025" s="1487"/>
      <c r="AS1025" s="1487"/>
      <c r="AT1025" s="1487"/>
      <c r="AU1025" s="1487"/>
      <c r="AV1025" s="1487"/>
      <c r="AW1025" s="1487"/>
      <c r="AX1025" s="1487"/>
      <c r="AY1025" s="1487"/>
    </row>
    <row r="1026" spans="1:96" ht="12.75" customHeight="1">
      <c r="A1026" s="51"/>
      <c r="B1026" s="110"/>
      <c r="C1026" s="700"/>
      <c r="D1026" s="2077"/>
      <c r="E1026" s="2078"/>
      <c r="F1026" s="2078"/>
      <c r="G1026" s="2078"/>
      <c r="H1026" s="2078"/>
      <c r="I1026" s="2078"/>
      <c r="J1026" s="2078"/>
      <c r="K1026" s="2078"/>
      <c r="L1026" s="2078"/>
      <c r="M1026" s="2078"/>
      <c r="N1026" s="2078"/>
      <c r="O1026" s="2078"/>
      <c r="P1026" s="2078"/>
      <c r="Q1026" s="2078"/>
      <c r="R1026" s="2078"/>
      <c r="S1026" s="2078"/>
      <c r="T1026" s="2078"/>
      <c r="U1026" s="2078"/>
      <c r="V1026" s="2078"/>
      <c r="W1026" s="2078"/>
      <c r="X1026" s="2078"/>
      <c r="Y1026" s="2078"/>
      <c r="Z1026" s="2078"/>
      <c r="AA1026" s="2078"/>
      <c r="AB1026" s="2078"/>
      <c r="AC1026" s="2078"/>
      <c r="AD1026" s="2078"/>
      <c r="AE1026" s="2079"/>
      <c r="AF1026" s="110"/>
      <c r="AG1026" s="701"/>
      <c r="AH1026" s="701"/>
      <c r="AI1026" s="121"/>
      <c r="AJ1026" s="2196"/>
      <c r="AK1026" s="2197"/>
      <c r="AL1026" s="2197"/>
      <c r="AM1026" s="2197"/>
      <c r="AN1026" s="2197"/>
      <c r="AO1026" s="2197"/>
      <c r="AP1026" s="2197"/>
      <c r="AQ1026" s="2198"/>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187">
        <f>BA987</f>
        <v>291</v>
      </c>
      <c r="J1027" s="2188"/>
      <c r="K1027" s="11"/>
      <c r="L1027" s="200"/>
      <c r="M1027" s="200"/>
      <c r="N1027" s="200"/>
      <c r="O1027" s="200"/>
      <c r="P1027" s="200"/>
      <c r="Q1027" s="200"/>
      <c r="R1027" s="200"/>
      <c r="S1027" s="200"/>
      <c r="T1027" s="200"/>
      <c r="U1027" s="200"/>
      <c r="V1027" s="201" t="s">
        <v>1051</v>
      </c>
      <c r="W1027" s="80"/>
      <c r="X1027" s="2185">
        <f>BG635</f>
        <v>30</v>
      </c>
      <c r="Y1027" s="2186"/>
      <c r="Z1027" s="80"/>
      <c r="AA1027" s="80"/>
      <c r="AB1027" s="80"/>
      <c r="AC1027" s="80"/>
      <c r="AD1027" s="80"/>
      <c r="AE1027" s="81"/>
      <c r="AF1027" s="1526"/>
      <c r="AG1027" s="1527"/>
      <c r="AH1027" s="1527"/>
      <c r="AI1027" s="1528"/>
      <c r="AJ1027" s="2199"/>
      <c r="AK1027" s="2200"/>
      <c r="AL1027" s="2200"/>
      <c r="AM1027" s="2200"/>
      <c r="AN1027" s="2200"/>
      <c r="AO1027" s="2200"/>
      <c r="AP1027" s="2200"/>
      <c r="AQ1027" s="2201"/>
      <c r="AR1027" s="1487"/>
      <c r="AS1027" s="1487"/>
      <c r="AT1027" s="1487"/>
      <c r="AU1027" s="1487"/>
      <c r="AV1027" s="1487"/>
      <c r="AW1027" s="1487"/>
      <c r="AX1027" s="1487"/>
      <c r="AY1027" s="1487"/>
      <c r="CR1027" s="25"/>
    </row>
    <row r="1028" spans="1:96" ht="12.75" customHeight="1">
      <c r="A1028" s="51"/>
      <c r="B1028" s="117"/>
      <c r="C1028" s="198" t="s">
        <v>2103</v>
      </c>
      <c r="D1028" s="2083" t="s">
        <v>2309</v>
      </c>
      <c r="E1028" s="2084"/>
      <c r="F1028" s="2084"/>
      <c r="G1028" s="2084"/>
      <c r="H1028" s="2084"/>
      <c r="I1028" s="2084"/>
      <c r="J1028" s="2084"/>
      <c r="K1028" s="2084"/>
      <c r="L1028" s="2084"/>
      <c r="M1028" s="2084"/>
      <c r="N1028" s="2084"/>
      <c r="O1028" s="2084"/>
      <c r="P1028" s="2084"/>
      <c r="Q1028" s="2084"/>
      <c r="R1028" s="2084"/>
      <c r="S1028" s="2084"/>
      <c r="T1028" s="2084"/>
      <c r="U1028" s="2084"/>
      <c r="V1028" s="2084"/>
      <c r="W1028" s="2084"/>
      <c r="X1028" s="2084"/>
      <c r="Y1028" s="2084"/>
      <c r="Z1028" s="2084"/>
      <c r="AA1028" s="2084"/>
      <c r="AB1028" s="2084"/>
      <c r="AC1028" s="2084"/>
      <c r="AD1028" s="2084"/>
      <c r="AE1028" s="2085"/>
      <c r="AF1028" s="110"/>
      <c r="AG1028" s="2189" t="str">
        <f>IF(X1031&gt;0,"Yes","No")</f>
        <v>Yes</v>
      </c>
      <c r="AH1028" s="2190"/>
      <c r="AI1028" s="121"/>
      <c r="AJ1028" s="2193">
        <f>IF((X1031=0),0,(2*BA990)*AJ975)</f>
        <v>22074045.400000002</v>
      </c>
      <c r="AK1028" s="2194"/>
      <c r="AL1028" s="2194"/>
      <c r="AM1028" s="2194"/>
      <c r="AN1028" s="2194"/>
      <c r="AO1028" s="2194"/>
      <c r="AP1028" s="2194"/>
      <c r="AQ1028" s="2195"/>
      <c r="AR1028" s="1487"/>
      <c r="AS1028" s="1487"/>
      <c r="AT1028" s="1487"/>
      <c r="AU1028" s="1487"/>
      <c r="AV1028" s="1487"/>
      <c r="AW1028" s="1487"/>
      <c r="AX1028" s="1487"/>
      <c r="AY1028" s="1487"/>
    </row>
    <row r="1029" spans="1:96" ht="12.75" customHeight="1">
      <c r="A1029" s="51"/>
      <c r="B1029" s="110"/>
      <c r="C1029" s="700"/>
      <c r="D1029" s="2077" t="s">
        <v>1536</v>
      </c>
      <c r="E1029" s="2078"/>
      <c r="F1029" s="2078"/>
      <c r="G1029" s="2078"/>
      <c r="H1029" s="2078"/>
      <c r="I1029" s="2078"/>
      <c r="J1029" s="2078"/>
      <c r="K1029" s="2078"/>
      <c r="L1029" s="2078"/>
      <c r="M1029" s="2078"/>
      <c r="N1029" s="2078"/>
      <c r="O1029" s="2078"/>
      <c r="P1029" s="2078"/>
      <c r="Q1029" s="2078"/>
      <c r="R1029" s="2078"/>
      <c r="S1029" s="2078"/>
      <c r="T1029" s="2078"/>
      <c r="U1029" s="2078"/>
      <c r="V1029" s="2078"/>
      <c r="W1029" s="2078"/>
      <c r="X1029" s="2078"/>
      <c r="Y1029" s="2078"/>
      <c r="Z1029" s="2078"/>
      <c r="AA1029" s="2078"/>
      <c r="AB1029" s="2078"/>
      <c r="AC1029" s="2078"/>
      <c r="AD1029" s="2078"/>
      <c r="AE1029" s="2079"/>
      <c r="AF1029" s="110"/>
      <c r="AG1029" s="701"/>
      <c r="AH1029" s="701"/>
      <c r="AI1029" s="121"/>
      <c r="AJ1029" s="2196"/>
      <c r="AK1029" s="2197"/>
      <c r="AL1029" s="2197"/>
      <c r="AM1029" s="2197"/>
      <c r="AN1029" s="2197"/>
      <c r="AO1029" s="2197"/>
      <c r="AP1029" s="2197"/>
      <c r="AQ1029" s="2198"/>
      <c r="AR1029" s="1487"/>
      <c r="AS1029" s="1487"/>
      <c r="AT1029" s="1487"/>
      <c r="AU1029" s="1487"/>
      <c r="AV1029" s="1487"/>
      <c r="AW1029" s="1487"/>
      <c r="AX1029" s="1487"/>
      <c r="AY1029" s="1487"/>
    </row>
    <row r="1030" spans="1:96" ht="12.75" customHeight="1">
      <c r="A1030" s="51"/>
      <c r="B1030" s="110"/>
      <c r="C1030" s="121"/>
      <c r="D1030" s="2077"/>
      <c r="E1030" s="2078"/>
      <c r="F1030" s="2078"/>
      <c r="G1030" s="2078"/>
      <c r="H1030" s="2078"/>
      <c r="I1030" s="2078"/>
      <c r="J1030" s="2078"/>
      <c r="K1030" s="2078"/>
      <c r="L1030" s="2078"/>
      <c r="M1030" s="2078"/>
      <c r="N1030" s="2078"/>
      <c r="O1030" s="2078"/>
      <c r="P1030" s="2078"/>
      <c r="Q1030" s="2078"/>
      <c r="R1030" s="2078"/>
      <c r="S1030" s="2078"/>
      <c r="T1030" s="2078"/>
      <c r="U1030" s="2078"/>
      <c r="V1030" s="2078"/>
      <c r="W1030" s="2078"/>
      <c r="X1030" s="2078"/>
      <c r="Y1030" s="2078"/>
      <c r="Z1030" s="2078"/>
      <c r="AA1030" s="2078"/>
      <c r="AB1030" s="2078"/>
      <c r="AC1030" s="2078"/>
      <c r="AD1030" s="2078"/>
      <c r="AE1030" s="2079"/>
      <c r="AF1030" s="1523"/>
      <c r="AG1030" s="1524"/>
      <c r="AH1030" s="1524"/>
      <c r="AI1030" s="1525"/>
      <c r="AJ1030" s="2196"/>
      <c r="AK1030" s="2197"/>
      <c r="AL1030" s="2197"/>
      <c r="AM1030" s="2197"/>
      <c r="AN1030" s="2197"/>
      <c r="AO1030" s="2197"/>
      <c r="AP1030" s="2197"/>
      <c r="AQ1030" s="2198"/>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187">
        <f>BA987</f>
        <v>291</v>
      </c>
      <c r="J1031" s="2188"/>
      <c r="K1031" s="51"/>
      <c r="L1031" s="200"/>
      <c r="M1031" s="200"/>
      <c r="N1031" s="200"/>
      <c r="O1031" s="200"/>
      <c r="P1031" s="200"/>
      <c r="Q1031" s="200"/>
      <c r="R1031" s="200"/>
      <c r="S1031" s="200"/>
      <c r="T1031" s="200"/>
      <c r="U1031" s="200"/>
      <c r="V1031" s="201" t="s">
        <v>1052</v>
      </c>
      <c r="X1031" s="2185">
        <f>BK635</f>
        <v>30</v>
      </c>
      <c r="Y1031" s="2186"/>
      <c r="AF1031" s="1526"/>
      <c r="AG1031" s="1527"/>
      <c r="AH1031" s="1527"/>
      <c r="AI1031" s="1528"/>
      <c r="AJ1031" s="2199"/>
      <c r="AK1031" s="2200"/>
      <c r="AL1031" s="2200"/>
      <c r="AM1031" s="2200"/>
      <c r="AN1031" s="2200"/>
      <c r="AO1031" s="2200"/>
      <c r="AP1031" s="2200"/>
      <c r="AQ1031" s="2201"/>
      <c r="AR1031" s="1487"/>
      <c r="AS1031" s="1487"/>
      <c r="AT1031" s="1487"/>
      <c r="AU1031" s="1487"/>
      <c r="AV1031" s="1487"/>
      <c r="AW1031" s="1487"/>
      <c r="AX1031" s="1487"/>
      <c r="AY1031" s="1487"/>
      <c r="CR1031" s="25"/>
    </row>
    <row r="1032" spans="1:96" ht="12.75" customHeight="1">
      <c r="A1032" s="51"/>
      <c r="B1032" s="158"/>
      <c r="C1032" s="159"/>
      <c r="D1032" s="2183" t="s">
        <v>546</v>
      </c>
      <c r="E1032" s="2183"/>
      <c r="F1032" s="2183"/>
      <c r="G1032" s="2183"/>
      <c r="H1032" s="2183"/>
      <c r="I1032" s="2183"/>
      <c r="J1032" s="2183"/>
      <c r="K1032" s="2183"/>
      <c r="L1032" s="2183"/>
      <c r="M1032" s="2183"/>
      <c r="N1032" s="2183"/>
      <c r="O1032" s="2183"/>
      <c r="P1032" s="2183"/>
      <c r="Q1032" s="2183"/>
      <c r="R1032" s="2183"/>
      <c r="S1032" s="2183"/>
      <c r="T1032" s="2183"/>
      <c r="U1032" s="2183"/>
      <c r="V1032" s="2183"/>
      <c r="W1032" s="2183"/>
      <c r="X1032" s="2183"/>
      <c r="Y1032" s="2183"/>
      <c r="Z1032" s="2183"/>
      <c r="AA1032" s="2183"/>
      <c r="AB1032" s="2183"/>
      <c r="AC1032" s="2183"/>
      <c r="AD1032" s="2183"/>
      <c r="AE1032" s="2183"/>
      <c r="AF1032" s="2183"/>
      <c r="AG1032" s="2183"/>
      <c r="AH1032" s="2183"/>
      <c r="AI1032" s="2184"/>
      <c r="AJ1032" s="2202">
        <f>SUM(AJ975:AQ1031)</f>
        <v>168074843.09999999</v>
      </c>
      <c r="AK1032" s="2203"/>
      <c r="AL1032" s="2203"/>
      <c r="AM1032" s="2203"/>
      <c r="AN1032" s="2203"/>
      <c r="AO1032" s="2203"/>
      <c r="AP1032" s="2203"/>
      <c r="AQ1032" s="220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1" t="s">
        <v>1923</v>
      </c>
      <c r="C1034" s="2501"/>
      <c r="D1034" s="2501"/>
      <c r="E1034" s="2501"/>
      <c r="F1034" s="2501"/>
      <c r="G1034" s="2501"/>
      <c r="H1034" s="2501"/>
      <c r="I1034" s="2501"/>
      <c r="J1034" s="2501"/>
      <c r="K1034" s="2501"/>
      <c r="L1034" s="2501"/>
      <c r="M1034" s="2501"/>
      <c r="N1034" s="2501"/>
      <c r="O1034" s="2501"/>
      <c r="P1034" s="2501"/>
      <c r="Q1034" s="2501"/>
      <c r="R1034" s="2501"/>
      <c r="S1034" s="2501"/>
      <c r="T1034" s="2501"/>
      <c r="U1034" s="2501"/>
      <c r="V1034" s="2501"/>
      <c r="W1034" s="2501"/>
      <c r="X1034" s="2501"/>
      <c r="Y1034" s="2501"/>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9"/>
      <c r="Y1035" s="2289"/>
      <c r="Z1035" s="2289"/>
      <c r="AA1035" s="2289"/>
      <c r="AB1035" s="2289"/>
      <c r="AC1035" s="2289"/>
      <c r="AD1035" s="2496">
        <f>R971</f>
        <v>387200</v>
      </c>
      <c r="AE1035" s="2412"/>
      <c r="AF1035" s="2412"/>
      <c r="AG1035" s="2412"/>
      <c r="AH1035" s="2412"/>
      <c r="AI1035" s="2412"/>
      <c r="AJ1035" s="2412"/>
      <c r="AK1035" s="2412"/>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0"/>
      <c r="Y1036" s="2290"/>
      <c r="Z1036" s="2290"/>
      <c r="AA1036" s="2290"/>
      <c r="AB1036" s="2290"/>
      <c r="AC1036" s="2290"/>
      <c r="AD1036" s="2125">
        <f>MEDIAN((BR809:BR866))</f>
        <v>388000</v>
      </c>
      <c r="AE1036" s="2125"/>
      <c r="AF1036" s="2125"/>
      <c r="AG1036" s="2125"/>
      <c r="AH1036" s="2125"/>
      <c r="AI1036" s="2125"/>
      <c r="AJ1036" s="2125"/>
      <c r="AK1036" s="2125"/>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97" t="s">
        <v>1925</v>
      </c>
      <c r="C1037" s="2497"/>
      <c r="D1037" s="2497"/>
      <c r="E1037" s="2497"/>
      <c r="F1037" s="2497"/>
      <c r="G1037" s="2497"/>
      <c r="H1037" s="2497"/>
      <c r="I1037" s="2497"/>
      <c r="J1037" s="2497"/>
      <c r="K1037" s="2497"/>
      <c r="L1037" s="2497"/>
      <c r="M1037" s="2497"/>
      <c r="N1037" s="2497"/>
      <c r="O1037" s="2497"/>
      <c r="P1037" s="2497"/>
      <c r="Q1037" s="2497"/>
      <c r="R1037" s="2497"/>
      <c r="S1037" s="2497"/>
      <c r="T1037" s="2497"/>
      <c r="U1037" s="2497"/>
      <c r="V1037" s="2497"/>
      <c r="W1037" s="2497"/>
      <c r="X1037" s="2497"/>
      <c r="Y1037" s="2497"/>
      <c r="Z1037" s="1412"/>
      <c r="AA1037" s="1412"/>
      <c r="AB1037" s="1412"/>
      <c r="AC1037" s="1412"/>
      <c r="AD1037" s="2493">
        <f>IF(((AD1035-AD1036)/AD1036)&gt;0.3,0.3,((AD1035-AD1036)/AD1036))</f>
        <v>-2.0618556701030928E-3</v>
      </c>
      <c r="AE1037" s="2494"/>
      <c r="AF1037" s="2494"/>
      <c r="AG1037" s="2494"/>
      <c r="AH1037" s="2494"/>
      <c r="AI1037" s="2494"/>
      <c r="AJ1037" s="2494"/>
      <c r="AK1037" s="2495"/>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7">
        <f>IF(ISNA(IF((AJ999&gt;(AJ975*0.15)),"(f) cannot be greater than 15% of unadjusted eligible basis.",0)),"",(IF((AJ999&gt;(AJ975*0.15)),"(f) cannot be greater than 15% of unadjusted eligible basis.",0)))</f>
        <v>0</v>
      </c>
      <c r="C1039" s="2287"/>
      <c r="D1039" s="2287"/>
      <c r="E1039" s="2287"/>
      <c r="F1039" s="2287"/>
      <c r="G1039" s="2287"/>
      <c r="H1039" s="2287"/>
      <c r="I1039" s="2287"/>
      <c r="J1039" s="2287"/>
      <c r="K1039" s="2287"/>
      <c r="L1039" s="2287"/>
      <c r="M1039" s="2287"/>
      <c r="N1039" s="2287"/>
      <c r="O1039" s="2287"/>
      <c r="P1039" s="2287"/>
      <c r="Q1039" s="2287"/>
      <c r="R1039" s="2287"/>
      <c r="S1039" s="2287"/>
      <c r="T1039" s="2287"/>
      <c r="U1039" s="2287"/>
      <c r="V1039" s="2287"/>
      <c r="W1039" s="2287"/>
      <c r="X1039" s="2287"/>
      <c r="Y1039" s="2287"/>
      <c r="Z1039" s="2287"/>
      <c r="AA1039" s="2287"/>
      <c r="AB1039" s="2287"/>
      <c r="AC1039" s="2287"/>
      <c r="AD1039" s="2287"/>
      <c r="AE1039" s="2287"/>
      <c r="AF1039" s="2287"/>
      <c r="AG1039" s="2287"/>
      <c r="AH1039" s="2287"/>
      <c r="AI1039" s="2287"/>
      <c r="AJ1039" s="2287"/>
      <c r="AK1039" s="2287"/>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3" t="s">
        <v>852</v>
      </c>
      <c r="B1040" s="2323"/>
      <c r="C1040" s="2323"/>
      <c r="D1040" s="2323"/>
      <c r="E1040" s="2323"/>
      <c r="F1040" s="2323"/>
      <c r="G1040" s="2323"/>
      <c r="H1040" s="2323"/>
      <c r="I1040" s="2323"/>
      <c r="J1040" s="2323"/>
      <c r="K1040" s="2323"/>
      <c r="L1040" s="2323"/>
      <c r="M1040" s="2323"/>
      <c r="N1040" s="2323"/>
      <c r="O1040" s="2323"/>
      <c r="P1040" s="2323"/>
      <c r="Q1040" s="2323"/>
      <c r="R1040" s="2323"/>
      <c r="S1040" s="2323"/>
      <c r="T1040" s="2323"/>
      <c r="U1040" s="2323"/>
      <c r="V1040" s="2323"/>
      <c r="W1040" s="2323"/>
      <c r="X1040" s="2323"/>
      <c r="Y1040" s="2323"/>
      <c r="Z1040" s="2323"/>
      <c r="AA1040" s="2323"/>
      <c r="AB1040" s="2323"/>
      <c r="AC1040" s="2323"/>
      <c r="AD1040" s="2323"/>
      <c r="AE1040" s="2323"/>
      <c r="AF1040" s="2323"/>
      <c r="AG1040" s="2323"/>
      <c r="AH1040" s="2323"/>
      <c r="AI1040" s="2323"/>
      <c r="AJ1040" s="2323"/>
      <c r="AK1040" s="2323"/>
      <c r="AL1040" s="232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1" t="s">
        <v>626</v>
      </c>
      <c r="B1044" s="1991"/>
      <c r="C1044" s="13">
        <v>1</v>
      </c>
      <c r="D1044" s="1856" t="s">
        <v>1219</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1" t="s">
        <v>626</v>
      </c>
      <c r="B1050" s="1991"/>
      <c r="C1050" s="13">
        <v>2</v>
      </c>
      <c r="D1050" s="1856" t="s">
        <v>1218</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1991" t="s">
        <v>626</v>
      </c>
      <c r="B1056" s="1991"/>
      <c r="C1056" s="13">
        <v>3</v>
      </c>
      <c r="D1056" s="1856" t="s">
        <v>1519</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1991" t="s">
        <v>626</v>
      </c>
      <c r="B1063" s="1991"/>
      <c r="C1063" s="13">
        <v>4</v>
      </c>
      <c r="D1063" s="1856" t="s">
        <v>1204</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6" customHeight="1">
      <c r="A1066" s="1991" t="s">
        <v>626</v>
      </c>
      <c r="B1066" s="1991"/>
      <c r="C1066" s="13">
        <v>5</v>
      </c>
      <c r="D1066" s="1856" t="s">
        <v>1413</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1991" t="s">
        <v>626</v>
      </c>
      <c r="B1071" s="1991"/>
      <c r="C1071" s="13">
        <v>6</v>
      </c>
      <c r="D1071" s="1856" t="s">
        <v>1205</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1991" t="s">
        <v>626</v>
      </c>
      <c r="B1074" s="1991"/>
      <c r="C1074" s="318">
        <v>7</v>
      </c>
      <c r="D1074" s="1856" t="s">
        <v>1207</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1991" t="s">
        <v>626</v>
      </c>
      <c r="B1078" s="1991"/>
      <c r="C1078" s="318">
        <v>8</v>
      </c>
      <c r="D1078" s="2288" t="s">
        <v>2098</v>
      </c>
      <c r="E1078" s="2288"/>
      <c r="F1078" s="2288"/>
      <c r="G1078" s="2288"/>
      <c r="H1078" s="2288"/>
      <c r="I1078" s="2288"/>
      <c r="J1078" s="2288"/>
      <c r="K1078" s="2288"/>
      <c r="L1078" s="2288"/>
      <c r="M1078" s="2288"/>
      <c r="N1078" s="2288"/>
      <c r="O1078" s="2288"/>
      <c r="P1078" s="2288"/>
      <c r="Q1078" s="2288"/>
      <c r="R1078" s="2288"/>
      <c r="S1078" s="2288"/>
      <c r="T1078" s="2288"/>
      <c r="U1078" s="2288"/>
      <c r="V1078" s="2288"/>
      <c r="W1078" s="2288"/>
      <c r="X1078" s="2288"/>
      <c r="Y1078" s="2288"/>
      <c r="Z1078" s="2288"/>
      <c r="AA1078" s="2288"/>
      <c r="AB1078" s="2288"/>
      <c r="AC1078" s="2288"/>
      <c r="AD1078" s="2288"/>
      <c r="AE1078" s="2288"/>
      <c r="AF1078" s="2288"/>
      <c r="AG1078" s="2288"/>
      <c r="AH1078" s="2288"/>
      <c r="AI1078" s="2288"/>
      <c r="AJ1078" s="2288"/>
      <c r="AK1078" s="2288"/>
    </row>
    <row r="1079" spans="1:96" ht="12.6" customHeight="1">
      <c r="A1079" s="235"/>
      <c r="B1079" s="235"/>
      <c r="C1079" s="318"/>
      <c r="D1079" s="2288"/>
      <c r="E1079" s="2288"/>
      <c r="F1079" s="2288"/>
      <c r="G1079" s="2288"/>
      <c r="H1079" s="2288"/>
      <c r="I1079" s="2288"/>
      <c r="J1079" s="2288"/>
      <c r="K1079" s="2288"/>
      <c r="L1079" s="2288"/>
      <c r="M1079" s="2288"/>
      <c r="N1079" s="2288"/>
      <c r="O1079" s="2288"/>
      <c r="P1079" s="2288"/>
      <c r="Q1079" s="2288"/>
      <c r="R1079" s="2288"/>
      <c r="S1079" s="2288"/>
      <c r="T1079" s="2288"/>
      <c r="U1079" s="2288"/>
      <c r="V1079" s="2288"/>
      <c r="W1079" s="2288"/>
      <c r="X1079" s="2288"/>
      <c r="Y1079" s="2288"/>
      <c r="Z1079" s="2288"/>
      <c r="AA1079" s="2288"/>
      <c r="AB1079" s="2288"/>
      <c r="AC1079" s="2288"/>
      <c r="AD1079" s="2288"/>
      <c r="AE1079" s="2288"/>
      <c r="AF1079" s="2288"/>
      <c r="AG1079" s="2288"/>
      <c r="AH1079" s="2288"/>
      <c r="AI1079" s="2288"/>
      <c r="AJ1079" s="2288"/>
      <c r="AK1079" s="2288"/>
    </row>
    <row r="1080" spans="1:96" ht="12.6" customHeight="1">
      <c r="A1080" s="235"/>
      <c r="B1080" s="235"/>
      <c r="C1080" s="318"/>
      <c r="D1080" s="2288"/>
      <c r="E1080" s="2288"/>
      <c r="F1080" s="2288"/>
      <c r="G1080" s="2288"/>
      <c r="H1080" s="2288"/>
      <c r="I1080" s="2288"/>
      <c r="J1080" s="2288"/>
      <c r="K1080" s="2288"/>
      <c r="L1080" s="2288"/>
      <c r="M1080" s="2288"/>
      <c r="N1080" s="2288"/>
      <c r="O1080" s="2288"/>
      <c r="P1080" s="2288"/>
      <c r="Q1080" s="2288"/>
      <c r="R1080" s="2288"/>
      <c r="S1080" s="2288"/>
      <c r="T1080" s="2288"/>
      <c r="U1080" s="2288"/>
      <c r="V1080" s="2288"/>
      <c r="W1080" s="2288"/>
      <c r="X1080" s="2288"/>
      <c r="Y1080" s="2288"/>
      <c r="Z1080" s="2288"/>
      <c r="AA1080" s="2288"/>
      <c r="AB1080" s="2288"/>
      <c r="AC1080" s="2288"/>
      <c r="AD1080" s="2288"/>
      <c r="AE1080" s="2288"/>
      <c r="AF1080" s="2288"/>
      <c r="AG1080" s="2288"/>
      <c r="AH1080" s="2288"/>
      <c r="AI1080" s="2288"/>
      <c r="AJ1080" s="2288"/>
      <c r="AK1080" s="2288"/>
      <c r="AL1080" s="680"/>
    </row>
    <row r="1081" spans="1:96" ht="12" customHeight="1">
      <c r="A1081" s="62"/>
      <c r="B1081" s="66"/>
      <c r="C1081" s="318"/>
      <c r="D1081" s="2288"/>
      <c r="E1081" s="2288"/>
      <c r="F1081" s="2288"/>
      <c r="G1081" s="2288"/>
      <c r="H1081" s="2288"/>
      <c r="I1081" s="2288"/>
      <c r="J1081" s="2288"/>
      <c r="K1081" s="2288"/>
      <c r="L1081" s="2288"/>
      <c r="M1081" s="2288"/>
      <c r="N1081" s="2288"/>
      <c r="O1081" s="2288"/>
      <c r="P1081" s="2288"/>
      <c r="Q1081" s="2288"/>
      <c r="R1081" s="2288"/>
      <c r="S1081" s="2288"/>
      <c r="T1081" s="2288"/>
      <c r="U1081" s="2288"/>
      <c r="V1081" s="2288"/>
      <c r="W1081" s="2288"/>
      <c r="X1081" s="2288"/>
      <c r="Y1081" s="2288"/>
      <c r="Z1081" s="2288"/>
      <c r="AA1081" s="2288"/>
      <c r="AB1081" s="2288"/>
      <c r="AC1081" s="2288"/>
      <c r="AD1081" s="2288"/>
      <c r="AE1081" s="2288"/>
      <c r="AF1081" s="2288"/>
      <c r="AG1081" s="2288"/>
      <c r="AH1081" s="2288"/>
      <c r="AI1081" s="2288"/>
      <c r="AJ1081" s="2288"/>
      <c r="AK1081" s="2288"/>
    </row>
    <row r="1082" spans="1:96" ht="12.6" customHeight="1">
      <c r="A1082" s="1991" t="s">
        <v>626</v>
      </c>
      <c r="B1082" s="1991"/>
      <c r="C1082" s="318">
        <v>9</v>
      </c>
      <c r="D1082" s="1856" t="s">
        <v>1206</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582</v>
      </c>
      <c r="B1" s="189"/>
      <c r="C1" s="189"/>
      <c r="D1" s="189"/>
      <c r="E1" s="190"/>
      <c r="F1" s="2527" t="s">
        <v>656</v>
      </c>
      <c r="G1" s="2528"/>
      <c r="H1" s="2528"/>
      <c r="I1" s="2528"/>
      <c r="J1" s="2528"/>
      <c r="K1" s="2528"/>
      <c r="L1" s="2528"/>
      <c r="M1" s="2528"/>
      <c r="N1" s="2528"/>
      <c r="O1" s="2528"/>
      <c r="P1" s="2528"/>
      <c r="Q1" s="2528"/>
      <c r="R1" s="2529"/>
      <c r="S1" s="168"/>
      <c r="T1" s="167"/>
      <c r="U1" s="169"/>
    </row>
    <row r="2" spans="1:21" s="208" customFormat="1" ht="71.25" customHeight="1">
      <c r="A2" s="207"/>
      <c r="B2" s="208" t="s">
        <v>24</v>
      </c>
      <c r="C2" s="208" t="s">
        <v>392</v>
      </c>
      <c r="D2" s="208" t="s">
        <v>391</v>
      </c>
      <c r="E2" s="208" t="s">
        <v>25</v>
      </c>
      <c r="F2" s="209" t="str">
        <f>Application!B637&amp;Application!C637</f>
        <v>1)Citibank - Perm Loan (T.E. Bonds)</v>
      </c>
      <c r="G2" s="209" t="str">
        <f>Application!B638&amp;Application!C638</f>
        <v>2)City of Elk Grove - Aff. Hsg. Funds Loan</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2300000</v>
      </c>
      <c r="C4" s="217">
        <v>2300000</v>
      </c>
      <c r="D4" s="217"/>
      <c r="E4" s="217">
        <v>2300000</v>
      </c>
      <c r="F4" s="217"/>
      <c r="G4" s="217"/>
      <c r="H4" s="217"/>
      <c r="I4" s="217"/>
      <c r="J4" s="217"/>
      <c r="K4" s="217"/>
      <c r="L4" s="217"/>
      <c r="M4" s="217"/>
      <c r="N4" s="217"/>
      <c r="O4" s="217"/>
      <c r="P4" s="217"/>
      <c r="Q4" s="217"/>
      <c r="R4" s="877">
        <f>SUM(E4:Q4)</f>
        <v>2300000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2305000</v>
      </c>
      <c r="C8" s="216">
        <f t="shared" ref="C8:Q8" si="0">SUM(C4:C7)</f>
        <v>2305000</v>
      </c>
      <c r="D8" s="216">
        <f t="shared" si="0"/>
        <v>0</v>
      </c>
      <c r="E8" s="216">
        <f t="shared" si="0"/>
        <v>2305000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2305000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216000</v>
      </c>
      <c r="C10" s="217">
        <v>216000</v>
      </c>
      <c r="D10" s="217"/>
      <c r="E10" s="217">
        <v>216000</v>
      </c>
      <c r="F10" s="217"/>
      <c r="G10" s="217"/>
      <c r="H10" s="217"/>
      <c r="I10" s="217"/>
      <c r="J10" s="217"/>
      <c r="K10" s="217"/>
      <c r="L10" s="217"/>
      <c r="M10" s="217"/>
      <c r="N10" s="217"/>
      <c r="O10" s="217"/>
      <c r="P10" s="217"/>
      <c r="Q10" s="217"/>
      <c r="R10" s="877">
        <f>SUM(E10:Q10)</f>
        <v>216000</v>
      </c>
      <c r="S10" s="217">
        <f>R10</f>
        <v>216000</v>
      </c>
      <c r="T10" s="217"/>
      <c r="U10" s="213"/>
    </row>
    <row r="11" spans="1:21" s="214" customFormat="1">
      <c r="A11" s="219" t="s">
        <v>631</v>
      </c>
      <c r="B11" s="216">
        <f>SUM(C11:D11)</f>
        <v>216000</v>
      </c>
      <c r="C11" s="216">
        <f t="shared" ref="C11:Q11" si="1">SUM(C9:C10)</f>
        <v>216000</v>
      </c>
      <c r="D11" s="216">
        <f t="shared" si="1"/>
        <v>0</v>
      </c>
      <c r="E11" s="216">
        <f t="shared" si="1"/>
        <v>216000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216000</v>
      </c>
      <c r="S11" s="218"/>
      <c r="T11" s="220">
        <f>SUM(T9:T10)</f>
        <v>0</v>
      </c>
      <c r="U11" s="213"/>
    </row>
    <row r="12" spans="1:21" s="214" customFormat="1">
      <c r="A12" s="219" t="s">
        <v>89</v>
      </c>
      <c r="B12" s="216">
        <f t="shared" ref="B12:Q12" si="2">SUM(B8+B11)</f>
        <v>2521000</v>
      </c>
      <c r="C12" s="216">
        <f t="shared" si="2"/>
        <v>2521000</v>
      </c>
      <c r="D12" s="216">
        <f t="shared" si="2"/>
        <v>0</v>
      </c>
      <c r="E12" s="216">
        <f t="shared" si="2"/>
        <v>2521000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2521000</v>
      </c>
      <c r="S12" s="218"/>
      <c r="T12" s="218"/>
      <c r="U12" s="213"/>
    </row>
    <row r="13" spans="1:21" s="214" customFormat="1">
      <c r="A13" s="449" t="s">
        <v>971</v>
      </c>
      <c r="B13" s="216">
        <f>SUM(C13+D13)</f>
        <v>393212</v>
      </c>
      <c r="C13" s="217">
        <v>393212</v>
      </c>
      <c r="D13" s="217"/>
      <c r="E13" s="217">
        <v>393212</v>
      </c>
      <c r="F13" s="217"/>
      <c r="G13" s="217"/>
      <c r="H13" s="217"/>
      <c r="I13" s="217"/>
      <c r="J13" s="217"/>
      <c r="K13" s="217"/>
      <c r="L13" s="217"/>
      <c r="M13" s="217"/>
      <c r="N13" s="217"/>
      <c r="O13" s="217"/>
      <c r="P13" s="217"/>
      <c r="Q13" s="217"/>
      <c r="R13" s="877">
        <f>SUM(E13:Q13)</f>
        <v>393212</v>
      </c>
      <c r="S13" s="217"/>
      <c r="T13" s="217"/>
      <c r="U13" s="213"/>
    </row>
    <row r="14" spans="1:21" s="214" customFormat="1" ht="23.2">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4410000</v>
      </c>
      <c r="C29" s="217">
        <v>4410000</v>
      </c>
      <c r="D29" s="217"/>
      <c r="E29" s="217">
        <v>4410000</v>
      </c>
      <c r="F29" s="217"/>
      <c r="G29" s="217"/>
      <c r="H29" s="217"/>
      <c r="I29" s="217"/>
      <c r="J29" s="217"/>
      <c r="K29" s="217"/>
      <c r="L29" s="217"/>
      <c r="M29" s="217"/>
      <c r="N29" s="217"/>
      <c r="O29" s="217"/>
      <c r="P29" s="217"/>
      <c r="Q29" s="217"/>
      <c r="R29" s="877">
        <f t="shared" ref="R29:R37" si="7">SUM(E29:Q29)</f>
        <v>4410000</v>
      </c>
      <c r="S29" s="217">
        <f>R29</f>
        <v>4410000</v>
      </c>
      <c r="T29" s="217"/>
      <c r="U29" s="213"/>
    </row>
    <row r="30" spans="1:21" s="214" customFormat="1">
      <c r="A30" s="215" t="s">
        <v>634</v>
      </c>
      <c r="B30" s="216">
        <f t="shared" si="6"/>
        <v>53640000</v>
      </c>
      <c r="C30" s="217">
        <v>53640000</v>
      </c>
      <c r="D30" s="217"/>
      <c r="E30" s="217">
        <v>23140000</v>
      </c>
      <c r="F30" s="217">
        <v>24500000</v>
      </c>
      <c r="G30" s="217">
        <v>6000000</v>
      </c>
      <c r="H30" s="217"/>
      <c r="I30" s="217"/>
      <c r="J30" s="217"/>
      <c r="K30" s="217"/>
      <c r="L30" s="217"/>
      <c r="M30" s="217"/>
      <c r="N30" s="217"/>
      <c r="O30" s="217"/>
      <c r="P30" s="217"/>
      <c r="Q30" s="217"/>
      <c r="R30" s="877">
        <f t="shared" si="7"/>
        <v>53640000</v>
      </c>
      <c r="S30" s="217">
        <f>R30</f>
        <v>53640000</v>
      </c>
      <c r="T30" s="217"/>
      <c r="U30" s="213"/>
    </row>
    <row r="31" spans="1:21" s="214" customFormat="1">
      <c r="A31" s="215" t="s">
        <v>635</v>
      </c>
      <c r="B31" s="216">
        <f t="shared" si="6"/>
        <v>3495960</v>
      </c>
      <c r="C31" s="217">
        <v>3495960</v>
      </c>
      <c r="D31" s="217"/>
      <c r="E31" s="217">
        <v>3495960</v>
      </c>
      <c r="F31" s="217"/>
      <c r="G31" s="217"/>
      <c r="H31" s="217"/>
      <c r="I31" s="217"/>
      <c r="J31" s="217"/>
      <c r="K31" s="217"/>
      <c r="L31" s="217"/>
      <c r="M31" s="217"/>
      <c r="N31" s="217"/>
      <c r="O31" s="217"/>
      <c r="P31" s="217"/>
      <c r="Q31" s="217"/>
      <c r="R31" s="877">
        <f t="shared" si="7"/>
        <v>3495960</v>
      </c>
      <c r="S31" s="217">
        <f>R31</f>
        <v>3495960</v>
      </c>
      <c r="T31" s="217"/>
      <c r="U31" s="213"/>
    </row>
    <row r="32" spans="1:21" s="214" customFormat="1">
      <c r="A32" s="215" t="s">
        <v>142</v>
      </c>
      <c r="B32" s="216">
        <f t="shared" si="6"/>
        <v>1235239</v>
      </c>
      <c r="C32" s="217">
        <v>1235239</v>
      </c>
      <c r="D32" s="217"/>
      <c r="E32" s="217">
        <v>1235239</v>
      </c>
      <c r="F32" s="217"/>
      <c r="G32" s="217"/>
      <c r="H32" s="217"/>
      <c r="I32" s="217"/>
      <c r="J32" s="217"/>
      <c r="K32" s="217"/>
      <c r="L32" s="217"/>
      <c r="M32" s="217"/>
      <c r="N32" s="217"/>
      <c r="O32" s="217"/>
      <c r="P32" s="217"/>
      <c r="Q32" s="217"/>
      <c r="R32" s="877">
        <f t="shared" si="7"/>
        <v>1235239</v>
      </c>
      <c r="S32" s="217">
        <f>R32</f>
        <v>1235239</v>
      </c>
      <c r="T32" s="217"/>
      <c r="U32" s="213"/>
    </row>
    <row r="33" spans="1:21" s="214" customFormat="1">
      <c r="A33" s="215" t="s">
        <v>143</v>
      </c>
      <c r="B33" s="216">
        <f t="shared" si="6"/>
        <v>3705718</v>
      </c>
      <c r="C33" s="217">
        <v>3705718</v>
      </c>
      <c r="D33" s="217"/>
      <c r="E33" s="217">
        <v>3705718</v>
      </c>
      <c r="F33" s="217"/>
      <c r="G33" s="217"/>
      <c r="H33" s="217"/>
      <c r="I33" s="217"/>
      <c r="J33" s="217"/>
      <c r="K33" s="217"/>
      <c r="L33" s="217"/>
      <c r="M33" s="217"/>
      <c r="N33" s="217"/>
      <c r="O33" s="217"/>
      <c r="P33" s="217"/>
      <c r="Q33" s="217"/>
      <c r="R33" s="877">
        <f t="shared" si="7"/>
        <v>3705718</v>
      </c>
      <c r="S33" s="217">
        <f>R33</f>
        <v>3705718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551500</v>
      </c>
      <c r="C35" s="217">
        <v>551500</v>
      </c>
      <c r="D35" s="217"/>
      <c r="E35" s="217">
        <v>551500</v>
      </c>
      <c r="F35" s="217"/>
      <c r="G35" s="217"/>
      <c r="H35" s="217"/>
      <c r="I35" s="217"/>
      <c r="J35" s="217"/>
      <c r="K35" s="217"/>
      <c r="L35" s="217"/>
      <c r="M35" s="217"/>
      <c r="N35" s="217"/>
      <c r="O35" s="217"/>
      <c r="P35" s="217"/>
      <c r="Q35" s="217"/>
      <c r="R35" s="877">
        <f t="shared" si="7"/>
        <v>551500</v>
      </c>
      <c r="S35" s="217">
        <f>R35</f>
        <v>551500</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67038417</v>
      </c>
      <c r="C38" s="216">
        <f>SUM(C29:C37)</f>
        <v>67038417</v>
      </c>
      <c r="D38" s="216">
        <f t="shared" ref="D38:Q38" si="8">SUM(D29:D37)</f>
        <v>0</v>
      </c>
      <c r="E38" s="216">
        <f t="shared" si="8"/>
        <v>36538417</v>
      </c>
      <c r="F38" s="216">
        <f t="shared" si="8"/>
        <v>24500000</v>
      </c>
      <c r="G38" s="216">
        <f t="shared" si="8"/>
        <v>6000000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67038417</v>
      </c>
      <c r="S38" s="220">
        <f>SUM(S29:S37)</f>
        <v>67038417</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650000</v>
      </c>
      <c r="C40" s="217">
        <v>650000</v>
      </c>
      <c r="D40" s="217"/>
      <c r="E40" s="217">
        <v>650000</v>
      </c>
      <c r="F40" s="217"/>
      <c r="G40" s="217"/>
      <c r="H40" s="217"/>
      <c r="I40" s="217"/>
      <c r="J40" s="217"/>
      <c r="K40" s="217"/>
      <c r="L40" s="217"/>
      <c r="M40" s="217"/>
      <c r="N40" s="217"/>
      <c r="O40" s="217"/>
      <c r="P40" s="217"/>
      <c r="Q40" s="217"/>
      <c r="R40" s="877">
        <f>SUM(E40:Q40)</f>
        <v>650000</v>
      </c>
      <c r="S40" s="217">
        <f>R40</f>
        <v>650000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77">
        <f>SUM(E41:Q41)</f>
        <v>150000</v>
      </c>
      <c r="S41" s="217">
        <f>R41</f>
        <v>150000</v>
      </c>
      <c r="T41" s="217"/>
      <c r="U41" s="213"/>
    </row>
    <row r="42" spans="1:21" s="214" customFormat="1">
      <c r="A42" s="219" t="s">
        <v>152</v>
      </c>
      <c r="B42" s="216">
        <f>SUM(C42:D42)</f>
        <v>800000</v>
      </c>
      <c r="C42" s="216">
        <f>SUM(C39:C41)</f>
        <v>800000</v>
      </c>
      <c r="D42" s="216">
        <f>SUM(D39:D41)</f>
        <v>0</v>
      </c>
      <c r="E42" s="216">
        <f t="shared" ref="E42:T42" si="9">SUM(E40:E41)</f>
        <v>800000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800000</v>
      </c>
      <c r="S42" s="220">
        <f t="shared" si="9"/>
        <v>800000</v>
      </c>
      <c r="T42" s="220">
        <f t="shared" si="9"/>
        <v>0</v>
      </c>
      <c r="U42" s="213"/>
    </row>
    <row r="43" spans="1:21" s="214" customFormat="1">
      <c r="A43" s="219" t="s">
        <v>153</v>
      </c>
      <c r="B43" s="216">
        <f>SUM(C43:D43)</f>
        <v>290000</v>
      </c>
      <c r="C43" s="217">
        <v>290000</v>
      </c>
      <c r="D43" s="217"/>
      <c r="E43" s="217">
        <v>290000</v>
      </c>
      <c r="F43" s="217"/>
      <c r="G43" s="217"/>
      <c r="H43" s="217"/>
      <c r="I43" s="217"/>
      <c r="J43" s="217"/>
      <c r="K43" s="217"/>
      <c r="L43" s="217"/>
      <c r="M43" s="217"/>
      <c r="N43" s="217"/>
      <c r="O43" s="217"/>
      <c r="P43" s="217"/>
      <c r="Q43" s="217"/>
      <c r="R43" s="877">
        <f>SUM(E43:Q43)</f>
        <v>290000</v>
      </c>
      <c r="S43" s="217">
        <f>R43</f>
        <v>290000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3780000</v>
      </c>
      <c r="C45" s="217">
        <f>2280000+1500000</f>
        <v>3780000</v>
      </c>
      <c r="D45" s="217"/>
      <c r="E45" s="217">
        <f>2280000+1500000</f>
        <v>3780000</v>
      </c>
      <c r="F45" s="217"/>
      <c r="G45" s="217"/>
      <c r="H45" s="217"/>
      <c r="I45" s="217"/>
      <c r="J45" s="217"/>
      <c r="K45" s="217"/>
      <c r="L45" s="217"/>
      <c r="M45" s="217"/>
      <c r="N45" s="217"/>
      <c r="O45" s="217"/>
      <c r="P45" s="217"/>
      <c r="Q45" s="217"/>
      <c r="R45" s="877">
        <f t="shared" ref="R45:R53" si="11">SUM(E45:Q45)</f>
        <v>3780000</v>
      </c>
      <c r="S45" s="217">
        <f>R45</f>
        <v>3780000</v>
      </c>
      <c r="T45" s="217"/>
      <c r="U45" s="213"/>
    </row>
    <row r="46" spans="1:21" s="214" customFormat="1">
      <c r="A46" s="215" t="s">
        <v>156</v>
      </c>
      <c r="B46" s="216">
        <f t="shared" si="10"/>
        <v>427500</v>
      </c>
      <c r="C46" s="217">
        <v>427500</v>
      </c>
      <c r="D46" s="217"/>
      <c r="E46" s="217">
        <v>427500</v>
      </c>
      <c r="F46" s="217"/>
      <c r="G46" s="217"/>
      <c r="H46" s="217"/>
      <c r="I46" s="217"/>
      <c r="J46" s="217"/>
      <c r="K46" s="217"/>
      <c r="L46" s="217"/>
      <c r="M46" s="217"/>
      <c r="N46" s="217"/>
      <c r="O46" s="217"/>
      <c r="P46" s="217"/>
      <c r="Q46" s="217"/>
      <c r="R46" s="877">
        <f t="shared" si="11"/>
        <v>427500</v>
      </c>
      <c r="S46" s="217">
        <f>R46</f>
        <v>427500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100000</v>
      </c>
      <c r="C49" s="217">
        <v>100000</v>
      </c>
      <c r="D49" s="217"/>
      <c r="E49" s="217">
        <v>100000</v>
      </c>
      <c r="F49" s="217"/>
      <c r="G49" s="217"/>
      <c r="H49" s="217"/>
      <c r="I49" s="217"/>
      <c r="J49" s="217"/>
      <c r="K49" s="217"/>
      <c r="L49" s="217"/>
      <c r="M49" s="217"/>
      <c r="N49" s="217"/>
      <c r="O49" s="217"/>
      <c r="P49" s="217"/>
      <c r="Q49" s="217"/>
      <c r="R49" s="877">
        <f t="shared" si="11"/>
        <v>100000</v>
      </c>
      <c r="S49" s="217">
        <f>R49</f>
        <v>100000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7">
        <f t="shared" si="11"/>
        <v>100000</v>
      </c>
      <c r="S50" s="217">
        <f>R50</f>
        <v>100000</v>
      </c>
      <c r="T50" s="217"/>
      <c r="U50" s="213"/>
    </row>
    <row r="51" spans="1:21" s="214" customFormat="1">
      <c r="A51" s="440" t="s">
        <v>159</v>
      </c>
      <c r="B51" s="216">
        <f t="shared" si="10"/>
        <v>120000</v>
      </c>
      <c r="C51" s="217">
        <v>120000</v>
      </c>
      <c r="D51" s="217"/>
      <c r="E51" s="217">
        <v>120000</v>
      </c>
      <c r="F51" s="217"/>
      <c r="G51" s="217"/>
      <c r="H51" s="217"/>
      <c r="I51" s="217"/>
      <c r="J51" s="217"/>
      <c r="K51" s="217"/>
      <c r="L51" s="217"/>
      <c r="M51" s="217"/>
      <c r="N51" s="217"/>
      <c r="O51" s="217"/>
      <c r="P51" s="217"/>
      <c r="Q51" s="217"/>
      <c r="R51" s="877">
        <f t="shared" si="11"/>
        <v>120000</v>
      </c>
      <c r="S51" s="217">
        <f>R51</f>
        <v>120000</v>
      </c>
      <c r="T51" s="217"/>
      <c r="U51" s="213"/>
    </row>
    <row r="52" spans="1:21" s="214" customFormat="1">
      <c r="A52" s="215" t="s">
        <v>160</v>
      </c>
      <c r="B52" s="216">
        <f t="shared" si="10"/>
        <v>500000</v>
      </c>
      <c r="C52" s="217">
        <v>500000</v>
      </c>
      <c r="D52" s="217"/>
      <c r="E52" s="217">
        <v>500000</v>
      </c>
      <c r="F52" s="217"/>
      <c r="G52" s="217"/>
      <c r="H52" s="217"/>
      <c r="I52" s="217"/>
      <c r="J52" s="217"/>
      <c r="K52" s="217"/>
      <c r="L52" s="217"/>
      <c r="M52" s="217"/>
      <c r="N52" s="217"/>
      <c r="O52" s="217"/>
      <c r="P52" s="217"/>
      <c r="Q52" s="217"/>
      <c r="R52" s="877">
        <f t="shared" si="11"/>
        <v>500000</v>
      </c>
      <c r="S52" s="217">
        <f>R52</f>
        <v>500000</v>
      </c>
      <c r="T52" s="217"/>
      <c r="U52" s="213"/>
    </row>
    <row r="53" spans="1:21" s="214" customFormat="1">
      <c r="A53" s="1816" t="s">
        <v>2671</v>
      </c>
      <c r="B53" s="216">
        <f t="shared" si="10"/>
        <v>120000</v>
      </c>
      <c r="C53" s="217">
        <v>120000</v>
      </c>
      <c r="D53" s="217"/>
      <c r="E53" s="217">
        <v>120000</v>
      </c>
      <c r="F53" s="217"/>
      <c r="G53" s="217"/>
      <c r="H53" s="217"/>
      <c r="I53" s="217"/>
      <c r="J53" s="217"/>
      <c r="K53" s="217"/>
      <c r="L53" s="217"/>
      <c r="M53" s="217"/>
      <c r="N53" s="217"/>
      <c r="O53" s="217"/>
      <c r="P53" s="217"/>
      <c r="Q53" s="217"/>
      <c r="R53" s="877">
        <f t="shared" si="11"/>
        <v>120000</v>
      </c>
      <c r="S53" s="217">
        <f>R53</f>
        <v>120000</v>
      </c>
      <c r="T53" s="217"/>
      <c r="U53" s="213"/>
    </row>
    <row r="54" spans="1:21" s="224" customFormat="1">
      <c r="A54" s="219" t="s">
        <v>162</v>
      </c>
      <c r="B54" s="220">
        <f>SUM(C54:D54)</f>
        <v>5147500</v>
      </c>
      <c r="C54" s="220">
        <f t="shared" ref="C54:T54" si="12">SUM(C45:C53)</f>
        <v>5147500</v>
      </c>
      <c r="D54" s="220">
        <f t="shared" si="12"/>
        <v>0</v>
      </c>
      <c r="E54" s="220">
        <f t="shared" si="12"/>
        <v>5147500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5147500</v>
      </c>
      <c r="S54" s="220">
        <f t="shared" si="12"/>
        <v>5147500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122500</v>
      </c>
      <c r="C56" s="217">
        <v>122500</v>
      </c>
      <c r="D56" s="217"/>
      <c r="E56" s="217">
        <v>122500</v>
      </c>
      <c r="F56" s="217"/>
      <c r="G56" s="217"/>
      <c r="H56" s="217"/>
      <c r="I56" s="217"/>
      <c r="J56" s="217"/>
      <c r="K56" s="217"/>
      <c r="L56" s="217"/>
      <c r="M56" s="217"/>
      <c r="N56" s="217"/>
      <c r="O56" s="217"/>
      <c r="P56" s="217"/>
      <c r="Q56" s="217"/>
      <c r="R56" s="877">
        <f t="shared" ref="R56:R61" si="14">SUM(E56:Q56)</f>
        <v>122500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7">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2662</v>
      </c>
      <c r="B61" s="216">
        <f t="shared" si="13"/>
        <v>80000</v>
      </c>
      <c r="C61" s="217">
        <v>80000</v>
      </c>
      <c r="D61" s="217"/>
      <c r="E61" s="217">
        <v>80000</v>
      </c>
      <c r="F61" s="217"/>
      <c r="G61" s="217"/>
      <c r="H61" s="217"/>
      <c r="I61" s="217"/>
      <c r="J61" s="217"/>
      <c r="K61" s="217"/>
      <c r="L61" s="217"/>
      <c r="M61" s="217"/>
      <c r="N61" s="217"/>
      <c r="O61" s="217"/>
      <c r="P61" s="217"/>
      <c r="Q61" s="217"/>
      <c r="R61" s="877">
        <f t="shared" si="14"/>
        <v>80000</v>
      </c>
      <c r="S61" s="218"/>
      <c r="T61" s="218"/>
      <c r="U61" s="213"/>
    </row>
    <row r="62" spans="1:21" s="214" customFormat="1" ht="13.75" customHeight="1">
      <c r="A62" s="219" t="s">
        <v>309</v>
      </c>
      <c r="B62" s="216">
        <f>SUM(C62:D62)</f>
        <v>252500</v>
      </c>
      <c r="C62" s="216">
        <f t="shared" ref="C62:R62" si="15">SUM(C56:C61)</f>
        <v>252500</v>
      </c>
      <c r="D62" s="216">
        <f t="shared" si="15"/>
        <v>0</v>
      </c>
      <c r="E62" s="216">
        <f t="shared" si="15"/>
        <v>252500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252500</v>
      </c>
      <c r="S62" s="218"/>
      <c r="T62" s="218"/>
      <c r="U62" s="213"/>
    </row>
    <row r="63" spans="1:21" s="214" customFormat="1">
      <c r="A63" s="225" t="s">
        <v>310</v>
      </c>
      <c r="B63" s="216">
        <f t="shared" ref="B63:R63" si="16">SUM(B8+B11+B13+B14+B15+B26+B27+B38+B42+B43+B54+B62)</f>
        <v>76442629</v>
      </c>
      <c r="C63" s="216">
        <f t="shared" si="16"/>
        <v>76442629</v>
      </c>
      <c r="D63" s="216">
        <f t="shared" si="16"/>
        <v>0</v>
      </c>
      <c r="E63" s="216">
        <f t="shared" si="16"/>
        <v>45942629</v>
      </c>
      <c r="F63" s="216">
        <f t="shared" si="16"/>
        <v>24500000</v>
      </c>
      <c r="G63" s="216">
        <f t="shared" si="16"/>
        <v>6000000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76442629</v>
      </c>
      <c r="S63" s="216">
        <f>SUM(S10+S13+S14+S15+S26+S27+S38+S42+S43+S54)</f>
        <v>73491917</v>
      </c>
      <c r="T63" s="216">
        <f>SUM(T11+T13+T14+T15+T26+T27+T38+T42+T43+T54)</f>
        <v>0</v>
      </c>
      <c r="U63" s="213"/>
    </row>
    <row r="64" spans="1:21" s="214" customFormat="1" ht="24.2">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7">
        <f>SUM(E65:Q65)</f>
        <v>100000</v>
      </c>
      <c r="S65" s="217">
        <f>R65</f>
        <v>100000</v>
      </c>
      <c r="T65" s="217"/>
      <c r="U65" s="213"/>
    </row>
    <row r="66" spans="1:21" s="214" customFormat="1" ht="24.05"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100000</v>
      </c>
      <c r="S70" s="220">
        <f t="shared" si="19"/>
        <v>100000</v>
      </c>
      <c r="T70" s="220">
        <f t="shared" si="19"/>
        <v>0</v>
      </c>
      <c r="U70" s="213"/>
    </row>
    <row r="71" spans="1:21" s="214" customFormat="1" ht="12.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819939</v>
      </c>
      <c r="C75" s="217">
        <v>819939</v>
      </c>
      <c r="D75" s="217"/>
      <c r="E75" s="217">
        <v>819939</v>
      </c>
      <c r="F75" s="217"/>
      <c r="G75" s="217"/>
      <c r="H75" s="217"/>
      <c r="I75" s="217"/>
      <c r="J75" s="217"/>
      <c r="K75" s="217"/>
      <c r="L75" s="217"/>
      <c r="M75" s="217"/>
      <c r="N75" s="217"/>
      <c r="O75" s="217"/>
      <c r="P75" s="217"/>
      <c r="Q75" s="217"/>
      <c r="R75" s="877">
        <f>SUM(E75:Q75)</f>
        <v>819939</v>
      </c>
      <c r="S75" s="218"/>
      <c r="T75" s="218"/>
      <c r="U75" s="213"/>
    </row>
    <row r="76" spans="1:21" s="214" customFormat="1">
      <c r="A76" s="1816" t="s">
        <v>2663</v>
      </c>
      <c r="B76" s="216">
        <f>SUM(C76+D76)</f>
        <v>500000</v>
      </c>
      <c r="C76" s="217">
        <v>500000</v>
      </c>
      <c r="D76" s="217"/>
      <c r="E76" s="217">
        <v>500000</v>
      </c>
      <c r="F76" s="217"/>
      <c r="G76" s="217"/>
      <c r="H76" s="217"/>
      <c r="I76" s="217"/>
      <c r="J76" s="217"/>
      <c r="K76" s="217"/>
      <c r="L76" s="217"/>
      <c r="M76" s="217"/>
      <c r="N76" s="217"/>
      <c r="O76" s="217"/>
      <c r="P76" s="217"/>
      <c r="Q76" s="217"/>
      <c r="R76" s="877">
        <f>SUM(E76:Q76)</f>
        <v>500000</v>
      </c>
      <c r="S76" s="218"/>
      <c r="T76" s="218"/>
      <c r="U76" s="213"/>
    </row>
    <row r="77" spans="1:21" s="214" customFormat="1">
      <c r="A77" s="219" t="s">
        <v>641</v>
      </c>
      <c r="B77" s="216">
        <f>SUM(C77:D77)</f>
        <v>1319939</v>
      </c>
      <c r="C77" s="216">
        <f>SUM(C72:C76)</f>
        <v>1319939</v>
      </c>
      <c r="D77" s="216">
        <f>SUM(D72:D76)</f>
        <v>0</v>
      </c>
      <c r="E77" s="216">
        <f t="shared" ref="E77:Q77" si="20">SUM(E72:E76)</f>
        <v>1319939</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1319939</v>
      </c>
      <c r="S77" s="218"/>
      <c r="T77" s="218"/>
      <c r="U77" s="213"/>
    </row>
    <row r="78" spans="1:21" s="214" customFormat="1" ht="12.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3400000</v>
      </c>
      <c r="C79" s="217">
        <v>3400000</v>
      </c>
      <c r="D79" s="217"/>
      <c r="E79" s="217">
        <v>3400000</v>
      </c>
      <c r="F79" s="217"/>
      <c r="G79" s="217"/>
      <c r="H79" s="217"/>
      <c r="I79" s="217"/>
      <c r="J79" s="217"/>
      <c r="K79" s="217"/>
      <c r="L79" s="217"/>
      <c r="M79" s="217"/>
      <c r="N79" s="217"/>
      <c r="O79" s="217"/>
      <c r="P79" s="217"/>
      <c r="Q79" s="217"/>
      <c r="R79" s="877">
        <f>SUM(E79:Q79)</f>
        <v>3400000</v>
      </c>
      <c r="S79" s="217">
        <f>R79</f>
        <v>3400000</v>
      </c>
      <c r="T79" s="217"/>
      <c r="U79" s="213"/>
    </row>
    <row r="80" spans="1:21" s="214" customFormat="1">
      <c r="A80" s="440" t="s">
        <v>61</v>
      </c>
      <c r="B80" s="216">
        <f>SUM(C80:D80)</f>
        <v>800000</v>
      </c>
      <c r="C80" s="217">
        <v>800000</v>
      </c>
      <c r="D80" s="217"/>
      <c r="E80" s="217">
        <v>800000</v>
      </c>
      <c r="F80" s="217"/>
      <c r="G80" s="217"/>
      <c r="H80" s="217"/>
      <c r="I80" s="217"/>
      <c r="J80" s="217"/>
      <c r="K80" s="217"/>
      <c r="L80" s="217"/>
      <c r="M80" s="217"/>
      <c r="N80" s="217"/>
      <c r="O80" s="217"/>
      <c r="P80" s="217"/>
      <c r="Q80" s="217"/>
      <c r="R80" s="877">
        <f>SUM(E80:Q80)</f>
        <v>800000</v>
      </c>
      <c r="S80" s="217">
        <f>R80</f>
        <v>800000</v>
      </c>
      <c r="T80" s="217"/>
      <c r="U80" s="213"/>
    </row>
    <row r="81" spans="1:21" s="214" customFormat="1">
      <c r="A81" s="219" t="s">
        <v>1414</v>
      </c>
      <c r="B81" s="216">
        <f>SUM(C81:D81)</f>
        <v>4200000</v>
      </c>
      <c r="C81" s="857">
        <f>SUM(C79:C80)</f>
        <v>4200000</v>
      </c>
      <c r="D81" s="857">
        <f t="shared" ref="D81:T81" si="21">SUM(D79:D80)</f>
        <v>0</v>
      </c>
      <c r="E81" s="857">
        <f t="shared" si="21"/>
        <v>4200000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4200000</v>
      </c>
      <c r="S81" s="857">
        <f t="shared" si="21"/>
        <v>4200000</v>
      </c>
      <c r="T81" s="857">
        <f t="shared" si="21"/>
        <v>0</v>
      </c>
      <c r="U81" s="213"/>
    </row>
    <row r="82" spans="1:21" s="214" customFormat="1" ht="12.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2">SUM(C83+D83)</f>
        <v>176418</v>
      </c>
      <c r="C83" s="217">
        <v>176418</v>
      </c>
      <c r="D83" s="217"/>
      <c r="E83" s="217">
        <v>176418</v>
      </c>
      <c r="F83" s="217"/>
      <c r="G83" s="217"/>
      <c r="H83" s="217"/>
      <c r="I83" s="217"/>
      <c r="J83" s="217"/>
      <c r="K83" s="217"/>
      <c r="L83" s="217"/>
      <c r="M83" s="217"/>
      <c r="N83" s="217"/>
      <c r="O83" s="217"/>
      <c r="P83" s="217"/>
      <c r="Q83" s="217"/>
      <c r="R83" s="877">
        <f t="shared" ref="R83:R95" si="23">SUM(E83:Q83)</f>
        <v>176418</v>
      </c>
      <c r="S83" s="218"/>
      <c r="T83" s="218"/>
      <c r="U83" s="213"/>
    </row>
    <row r="84" spans="1:21" s="214" customFormat="1">
      <c r="A84" s="215" t="s">
        <v>825</v>
      </c>
      <c r="B84" s="216">
        <f t="shared" si="22"/>
        <v>10000</v>
      </c>
      <c r="C84" s="217">
        <v>10000</v>
      </c>
      <c r="D84" s="217"/>
      <c r="E84" s="217">
        <v>10000</v>
      </c>
      <c r="F84" s="217"/>
      <c r="G84" s="217"/>
      <c r="H84" s="217"/>
      <c r="I84" s="217"/>
      <c r="J84" s="217"/>
      <c r="K84" s="217"/>
      <c r="L84" s="217"/>
      <c r="M84" s="217"/>
      <c r="N84" s="217"/>
      <c r="O84" s="217"/>
      <c r="P84" s="217"/>
      <c r="Q84" s="217"/>
      <c r="R84" s="877">
        <f t="shared" si="23"/>
        <v>10000</v>
      </c>
      <c r="S84" s="217">
        <f>R84</f>
        <v>10000</v>
      </c>
      <c r="T84" s="217"/>
      <c r="U84" s="213"/>
    </row>
    <row r="85" spans="1:21" s="214" customFormat="1">
      <c r="A85" s="215" t="s">
        <v>826</v>
      </c>
      <c r="B85" s="216">
        <f t="shared" si="22"/>
        <v>13556525</v>
      </c>
      <c r="C85" s="217">
        <v>13556525</v>
      </c>
      <c r="D85" s="217"/>
      <c r="E85" s="217">
        <v>13556525</v>
      </c>
      <c r="F85" s="217"/>
      <c r="G85" s="217"/>
      <c r="H85" s="217"/>
      <c r="I85" s="217"/>
      <c r="J85" s="217"/>
      <c r="K85" s="217"/>
      <c r="L85" s="217"/>
      <c r="M85" s="217"/>
      <c r="N85" s="217"/>
      <c r="O85" s="217"/>
      <c r="P85" s="217"/>
      <c r="Q85" s="217"/>
      <c r="R85" s="877">
        <f t="shared" si="23"/>
        <v>13556525</v>
      </c>
      <c r="S85" s="217">
        <f>R85</f>
        <v>13556525</v>
      </c>
      <c r="T85" s="217"/>
      <c r="U85" s="213"/>
    </row>
    <row r="86" spans="1:21" s="214" customFormat="1">
      <c r="A86" s="215" t="s">
        <v>827</v>
      </c>
      <c r="B86" s="216">
        <f t="shared" si="22"/>
        <v>700000</v>
      </c>
      <c r="C86" s="217">
        <v>700000</v>
      </c>
      <c r="D86" s="217"/>
      <c r="E86" s="217">
        <v>700000</v>
      </c>
      <c r="F86" s="217"/>
      <c r="G86" s="217"/>
      <c r="H86" s="217"/>
      <c r="I86" s="217"/>
      <c r="J86" s="217"/>
      <c r="K86" s="217"/>
      <c r="L86" s="217"/>
      <c r="M86" s="217"/>
      <c r="N86" s="217"/>
      <c r="O86" s="217"/>
      <c r="P86" s="217"/>
      <c r="Q86" s="217"/>
      <c r="R86" s="877">
        <f t="shared" si="23"/>
        <v>700000</v>
      </c>
      <c r="S86" s="217">
        <f>R86</f>
        <v>700000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172097</v>
      </c>
      <c r="C88" s="217">
        <v>172097</v>
      </c>
      <c r="D88" s="217"/>
      <c r="E88" s="217">
        <v>172097</v>
      </c>
      <c r="F88" s="217"/>
      <c r="G88" s="217"/>
      <c r="H88" s="217"/>
      <c r="I88" s="217"/>
      <c r="J88" s="217"/>
      <c r="K88" s="217"/>
      <c r="L88" s="217"/>
      <c r="M88" s="217"/>
      <c r="N88" s="217"/>
      <c r="O88" s="217"/>
      <c r="P88" s="217"/>
      <c r="Q88" s="217"/>
      <c r="R88" s="877">
        <f t="shared" si="23"/>
        <v>172097</v>
      </c>
      <c r="S88" s="218"/>
      <c r="T88" s="218"/>
      <c r="U88" s="213"/>
    </row>
    <row r="89" spans="1:21" s="214" customFormat="1">
      <c r="A89" s="215" t="s">
        <v>830</v>
      </c>
      <c r="B89" s="216">
        <f t="shared" si="22"/>
        <v>60000</v>
      </c>
      <c r="C89" s="217">
        <v>60000</v>
      </c>
      <c r="D89" s="217"/>
      <c r="E89" s="217">
        <v>60000</v>
      </c>
      <c r="F89" s="217"/>
      <c r="G89" s="217"/>
      <c r="H89" s="217"/>
      <c r="I89" s="217"/>
      <c r="J89" s="217"/>
      <c r="K89" s="217"/>
      <c r="L89" s="217"/>
      <c r="M89" s="217"/>
      <c r="N89" s="217"/>
      <c r="O89" s="217"/>
      <c r="P89" s="217"/>
      <c r="Q89" s="217"/>
      <c r="R89" s="877">
        <f t="shared" si="23"/>
        <v>60000</v>
      </c>
      <c r="S89" s="217">
        <f>R89</f>
        <v>60000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15000</v>
      </c>
      <c r="C91" s="217">
        <v>15000</v>
      </c>
      <c r="D91" s="217"/>
      <c r="E91" s="217">
        <v>15000</v>
      </c>
      <c r="F91" s="217"/>
      <c r="G91" s="217"/>
      <c r="H91" s="217"/>
      <c r="I91" s="217"/>
      <c r="J91" s="217"/>
      <c r="K91" s="217"/>
      <c r="L91" s="217"/>
      <c r="M91" s="217"/>
      <c r="N91" s="217"/>
      <c r="O91" s="217"/>
      <c r="P91" s="217"/>
      <c r="Q91" s="217"/>
      <c r="R91" s="877">
        <f t="shared" si="23"/>
        <v>15000</v>
      </c>
      <c r="S91" s="217">
        <f>R91</f>
        <v>15000</v>
      </c>
      <c r="T91" s="217"/>
      <c r="U91" s="213"/>
    </row>
    <row r="92" spans="1:21" s="214" customFormat="1">
      <c r="A92" s="1709" t="s">
        <v>1416</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14710040</v>
      </c>
      <c r="C96" s="216">
        <f t="shared" ref="C96:R96" si="24">SUM(C83:C95)</f>
        <v>14710040</v>
      </c>
      <c r="D96" s="216">
        <f t="shared" si="24"/>
        <v>0</v>
      </c>
      <c r="E96" s="216">
        <f t="shared" si="24"/>
        <v>14710040</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14710040</v>
      </c>
      <c r="S96" s="220">
        <f>SUM(S84:S87,S89:S95)</f>
        <v>14361525</v>
      </c>
      <c r="T96" s="216">
        <f>SUM(T84:T87,T89:T95)</f>
        <v>0</v>
      </c>
      <c r="U96" s="213"/>
    </row>
    <row r="97" spans="1:21" s="214" customFormat="1">
      <c r="A97" s="219" t="s">
        <v>833</v>
      </c>
      <c r="B97" s="216">
        <f>SUM(C97:D97)</f>
        <v>96772608</v>
      </c>
      <c r="C97" s="216">
        <f t="shared" ref="C97:R97" si="25">SUM(C63+C70+C77+C81+C96)</f>
        <v>96772608</v>
      </c>
      <c r="D97" s="216">
        <f t="shared" si="25"/>
        <v>0</v>
      </c>
      <c r="E97" s="216">
        <f t="shared" si="25"/>
        <v>66272608</v>
      </c>
      <c r="F97" s="216">
        <f t="shared" si="25"/>
        <v>24500000</v>
      </c>
      <c r="G97" s="216">
        <f t="shared" si="25"/>
        <v>6000000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96772608</v>
      </c>
      <c r="S97" s="216">
        <f>SUM(S63+S70+S81+S96)</f>
        <v>92153442</v>
      </c>
      <c r="T97" s="216">
        <f>SUM(T63+T70+T81+T96)</f>
        <v>0</v>
      </c>
      <c r="U97" s="213"/>
    </row>
    <row r="98" spans="1:21" s="214" customFormat="1" ht="12.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13823016</v>
      </c>
      <c r="C99" s="1604">
        <v>13823016</v>
      </c>
      <c r="D99" s="1604"/>
      <c r="E99" s="1604">
        <v>6380000</v>
      </c>
      <c r="F99" s="217"/>
      <c r="G99" s="217"/>
      <c r="H99" s="217">
        <v>7443016</v>
      </c>
      <c r="I99" s="217"/>
      <c r="J99" s="217"/>
      <c r="K99" s="217"/>
      <c r="L99" s="217"/>
      <c r="M99" s="217"/>
      <c r="N99" s="217"/>
      <c r="O99" s="217"/>
      <c r="P99" s="217"/>
      <c r="Q99" s="217"/>
      <c r="R99" s="877">
        <f t="shared" ref="R99:R103" si="26">SUM(E99:Q99)</f>
        <v>13823016</v>
      </c>
      <c r="S99" s="217">
        <f>R99</f>
        <v>13823016</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837</v>
      </c>
      <c r="B104" s="216">
        <f>SUM(C104:D104)</f>
        <v>13823016</v>
      </c>
      <c r="C104" s="216">
        <f>SUM(C99:C103)</f>
        <v>13823016</v>
      </c>
      <c r="D104" s="216">
        <f t="shared" ref="D104:T104" si="28">SUM(D99:D103)</f>
        <v>0</v>
      </c>
      <c r="E104" s="216">
        <f t="shared" si="28"/>
        <v>6380000</v>
      </c>
      <c r="F104" s="216">
        <f t="shared" si="28"/>
        <v>0</v>
      </c>
      <c r="G104" s="216">
        <f t="shared" si="28"/>
        <v>0</v>
      </c>
      <c r="H104" s="216">
        <f t="shared" si="28"/>
        <v>7443016</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13823016</v>
      </c>
      <c r="S104" s="220">
        <f t="shared" si="28"/>
        <v>13823016</v>
      </c>
      <c r="T104" s="220">
        <f t="shared" si="28"/>
        <v>0</v>
      </c>
      <c r="U104" s="213"/>
    </row>
    <row r="105" spans="1:21" s="214" customFormat="1">
      <c r="A105" s="219" t="s">
        <v>838</v>
      </c>
      <c r="B105" s="220">
        <f>SUM(C105:D105)</f>
        <v>110595624</v>
      </c>
      <c r="C105" s="220">
        <f t="shared" ref="C105:R105" si="29">SUM(C97+C104)</f>
        <v>110595624</v>
      </c>
      <c r="D105" s="220">
        <f t="shared" si="29"/>
        <v>0</v>
      </c>
      <c r="E105" s="220">
        <f t="shared" si="29"/>
        <v>72652608</v>
      </c>
      <c r="F105" s="220">
        <f t="shared" si="29"/>
        <v>24500000</v>
      </c>
      <c r="G105" s="220">
        <f t="shared" si="29"/>
        <v>6000000</v>
      </c>
      <c r="H105" s="220">
        <f t="shared" si="29"/>
        <v>7443016</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110595624</v>
      </c>
      <c r="S105" s="220">
        <f>S97+S104</f>
        <v>105976458</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105976458</v>
      </c>
      <c r="T107" s="234">
        <f>T105+T106</f>
        <v>0</v>
      </c>
    </row>
    <row r="108" spans="1:21" s="300" customFormat="1">
      <c r="A108" s="233" t="s">
        <v>944</v>
      </c>
      <c r="B108" s="228"/>
      <c r="C108" s="228"/>
      <c r="D108" s="228"/>
      <c r="E108" s="464">
        <f>Application!AO650</f>
        <v>72652608</v>
      </c>
      <c r="F108" s="464">
        <f>Application!AO637</f>
        <v>24500000</v>
      </c>
      <c r="G108" s="464">
        <f>Application!AO638</f>
        <v>6000000</v>
      </c>
      <c r="H108" s="464">
        <f>Application!AO639</f>
        <v>7443016</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65">
      <c r="A121" s="528" t="s">
        <v>1107</v>
      </c>
      <c r="B121" s="228"/>
      <c r="C121" s="228"/>
      <c r="D121" s="228"/>
    </row>
    <row r="122" spans="1:21">
      <c r="A122" s="513" t="s">
        <v>1091</v>
      </c>
      <c r="B122" s="512"/>
      <c r="C122" s="512"/>
      <c r="D122" s="2533" t="s">
        <v>1092</v>
      </c>
      <c r="E122" s="2533"/>
      <c r="F122" s="2533"/>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36" t="s">
        <v>1434</v>
      </c>
      <c r="E123" s="2537"/>
      <c r="F123" s="2537"/>
      <c r="G123" s="2537"/>
      <c r="H123" s="2537"/>
      <c r="I123" s="2537"/>
      <c r="J123" s="2537"/>
      <c r="K123" s="2537"/>
      <c r="L123" s="2537"/>
      <c r="M123" s="2537"/>
      <c r="N123" s="2537"/>
      <c r="O123" s="2537"/>
      <c r="P123" s="2537"/>
      <c r="Q123" s="2537"/>
      <c r="R123" s="2537"/>
      <c r="S123" s="2537"/>
      <c r="T123" s="512"/>
      <c r="U123" s="514"/>
    </row>
    <row r="124" spans="1:21" ht="12.6">
      <c r="A124" s="511" t="s">
        <v>1094</v>
      </c>
      <c r="B124" s="521"/>
      <c r="C124" s="511"/>
      <c r="D124" s="2537"/>
      <c r="E124" s="2537"/>
      <c r="F124" s="2537"/>
      <c r="G124" s="2537"/>
      <c r="H124" s="2537"/>
      <c r="I124" s="2537"/>
      <c r="J124" s="2537"/>
      <c r="K124" s="2537"/>
      <c r="L124" s="2537"/>
      <c r="M124" s="2537"/>
      <c r="N124" s="2537"/>
      <c r="O124" s="2537"/>
      <c r="P124" s="2537"/>
      <c r="Q124" s="2537"/>
      <c r="R124" s="2537"/>
      <c r="S124" s="2537"/>
      <c r="T124" s="512"/>
      <c r="U124" s="514"/>
    </row>
    <row r="125" spans="1:21" ht="12.6">
      <c r="A125" s="511" t="s">
        <v>1095</v>
      </c>
      <c r="B125" s="521"/>
      <c r="C125" s="511"/>
      <c r="D125" s="2537"/>
      <c r="E125" s="2537"/>
      <c r="F125" s="2537"/>
      <c r="G125" s="2537"/>
      <c r="H125" s="2537"/>
      <c r="I125" s="2537"/>
      <c r="J125" s="2537"/>
      <c r="K125" s="2537"/>
      <c r="L125" s="2537"/>
      <c r="M125" s="2537"/>
      <c r="N125" s="2537"/>
      <c r="O125" s="2537"/>
      <c r="P125" s="2537"/>
      <c r="Q125" s="2537"/>
      <c r="R125" s="2537"/>
      <c r="S125" s="2537"/>
      <c r="T125" s="512"/>
      <c r="U125" s="514"/>
    </row>
    <row r="126" spans="1:21" ht="12.6">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1098</v>
      </c>
      <c r="B128" s="521"/>
      <c r="C128" s="511"/>
      <c r="D128" s="2530"/>
      <c r="E128" s="2530"/>
      <c r="F128" s="2530"/>
      <c r="G128" s="2530"/>
      <c r="H128" s="2530"/>
      <c r="I128" s="511"/>
      <c r="J128" s="2531"/>
      <c r="K128" s="2531"/>
      <c r="L128" s="511"/>
      <c r="M128" s="511"/>
      <c r="N128" s="511"/>
      <c r="O128" s="511"/>
      <c r="P128" s="511"/>
      <c r="Q128" s="511"/>
      <c r="R128" s="511"/>
      <c r="S128" s="511"/>
      <c r="T128" s="512"/>
      <c r="U128" s="514"/>
    </row>
    <row r="129" spans="1:21" ht="12.6">
      <c r="A129" s="511" t="s">
        <v>308</v>
      </c>
      <c r="B129" s="521"/>
      <c r="C129" s="511"/>
      <c r="D129" s="2532" t="s">
        <v>1099</v>
      </c>
      <c r="E129" s="2532"/>
      <c r="F129" s="2532"/>
      <c r="G129" s="2532"/>
      <c r="H129" s="2532"/>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1101</v>
      </c>
      <c r="B131" s="522">
        <f>SUM(B123:B129)</f>
        <v>0</v>
      </c>
      <c r="C131" s="511"/>
      <c r="D131" s="2513"/>
      <c r="E131" s="2513"/>
      <c r="F131" s="2513"/>
      <c r="G131" s="2513"/>
      <c r="H131" s="2513"/>
      <c r="I131" s="511"/>
      <c r="J131" s="2513"/>
      <c r="K131" s="2513"/>
      <c r="L131" s="2513"/>
      <c r="M131" s="2513"/>
      <c r="N131" s="511"/>
      <c r="O131" s="511"/>
      <c r="P131" s="511"/>
      <c r="Q131" s="511"/>
      <c r="R131" s="511"/>
      <c r="S131" s="511"/>
      <c r="T131" s="512"/>
      <c r="U131" s="514"/>
    </row>
    <row r="132" spans="1:21" ht="12" customHeight="1">
      <c r="A132" s="525"/>
      <c r="B132" s="511"/>
      <c r="C132" s="511"/>
      <c r="D132" s="2538" t="s">
        <v>1102</v>
      </c>
      <c r="E132" s="2538"/>
      <c r="F132" s="2538"/>
      <c r="G132" s="2538"/>
      <c r="H132" s="2538"/>
      <c r="I132" s="511"/>
      <c r="J132" s="2538" t="s">
        <v>1103</v>
      </c>
      <c r="K132" s="2538"/>
      <c r="L132" s="2538"/>
      <c r="M132" s="2538"/>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9"/>
      <c r="B138" s="2540"/>
      <c r="C138" s="2540"/>
      <c r="D138" s="516"/>
      <c r="E138" s="2531"/>
      <c r="F138" s="2531"/>
      <c r="G138" s="511"/>
      <c r="H138" s="511"/>
      <c r="I138" s="511"/>
      <c r="J138" s="511"/>
      <c r="K138" s="511"/>
      <c r="L138" s="511"/>
      <c r="M138" s="511"/>
      <c r="N138" s="511"/>
      <c r="O138" s="511"/>
      <c r="P138" s="511"/>
      <c r="Q138" s="511"/>
      <c r="R138" s="511"/>
      <c r="S138" s="511"/>
      <c r="T138" s="518"/>
      <c r="U138" s="519"/>
    </row>
    <row r="139" spans="1:21" ht="13.1">
      <c r="A139" s="2534" t="s">
        <v>1106</v>
      </c>
      <c r="B139" s="2535"/>
      <c r="C139" s="2535"/>
      <c r="D139" s="516"/>
      <c r="E139" s="511" t="s">
        <v>1100</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47" t="s">
        <v>1437</v>
      </c>
      <c r="B1" s="2548"/>
      <c r="C1" s="2548"/>
      <c r="D1" s="2548"/>
      <c r="E1" s="2548"/>
      <c r="F1" s="2548"/>
      <c r="G1" s="2548"/>
      <c r="H1" s="2548"/>
      <c r="I1" s="2548"/>
      <c r="J1" s="2549"/>
      <c r="K1" s="557"/>
    </row>
    <row r="2" spans="1:11" s="613" customFormat="1" ht="69.5">
      <c r="A2" s="609"/>
      <c r="B2" s="610" t="s">
        <v>1136</v>
      </c>
      <c r="C2" s="610" t="s">
        <v>1439</v>
      </c>
      <c r="D2" s="611" t="s">
        <v>1440</v>
      </c>
      <c r="E2" s="610" t="s">
        <v>1348</v>
      </c>
      <c r="F2" s="610" t="s">
        <v>1441</v>
      </c>
      <c r="G2" s="610" t="s">
        <v>1442</v>
      </c>
      <c r="H2" s="610" t="s">
        <v>1137</v>
      </c>
      <c r="I2" s="610" t="s">
        <v>1443</v>
      </c>
      <c r="J2" s="610" t="s">
        <v>1444</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2300000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2305000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216000</v>
      </c>
      <c r="C10" s="564"/>
      <c r="D10" s="564"/>
      <c r="E10" s="563">
        <f>'Sources and Uses Budget'!S10</f>
        <v>216000</v>
      </c>
      <c r="F10" s="564"/>
      <c r="G10" s="564"/>
      <c r="H10" s="563">
        <f>'Sources and Uses Budget'!T10</f>
        <v>0</v>
      </c>
      <c r="I10" s="564"/>
      <c r="J10" s="564"/>
      <c r="K10" s="561"/>
    </row>
    <row r="11" spans="1:11" s="562" customFormat="1">
      <c r="A11" s="567" t="s">
        <v>631</v>
      </c>
      <c r="B11" s="563">
        <f>'Sources and Uses Budget'!C11</f>
        <v>216000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2521000</v>
      </c>
      <c r="C12" s="563">
        <f>SUM(C8+C11)</f>
        <v>0</v>
      </c>
      <c r="D12" s="563">
        <f>SUM(D8+D11)</f>
        <v>0</v>
      </c>
      <c r="E12" s="565"/>
      <c r="F12" s="565"/>
      <c r="G12" s="565"/>
      <c r="H12" s="565"/>
      <c r="I12" s="565"/>
      <c r="J12" s="565"/>
      <c r="K12" s="561"/>
    </row>
    <row r="13" spans="1:11" s="562" customFormat="1">
      <c r="A13" s="568" t="s">
        <v>971</v>
      </c>
      <c r="B13" s="563">
        <f>'Sources and Uses Budget'!C13</f>
        <v>393212</v>
      </c>
      <c r="C13" s="564"/>
      <c r="D13" s="564"/>
      <c r="E13" s="563">
        <f>'Sources and Uses Budget'!S13</f>
        <v>0</v>
      </c>
      <c r="F13" s="564"/>
      <c r="G13" s="564"/>
      <c r="H13" s="563">
        <f>'Sources and Uses Budget'!T13</f>
        <v>0</v>
      </c>
      <c r="I13" s="564"/>
      <c r="J13" s="564"/>
      <c r="K13" s="561"/>
    </row>
    <row r="14" spans="1:11" s="562" customFormat="1" ht="23.2">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633</v>
      </c>
      <c r="B29" s="563">
        <f>'Sources and Uses Budget'!C29</f>
        <v>4410000</v>
      </c>
      <c r="C29" s="564"/>
      <c r="D29" s="564"/>
      <c r="E29" s="563">
        <f>'Sources and Uses Budget'!S29</f>
        <v>4410000</v>
      </c>
      <c r="F29" s="564"/>
      <c r="G29" s="564"/>
      <c r="H29" s="563">
        <f>'Sources and Uses Budget'!T29</f>
        <v>0</v>
      </c>
      <c r="I29" s="564"/>
      <c r="J29" s="564"/>
      <c r="K29" s="561"/>
    </row>
    <row r="30" spans="1:11" s="562" customFormat="1">
      <c r="A30" s="215" t="s">
        <v>634</v>
      </c>
      <c r="B30" s="563">
        <f>'Sources and Uses Budget'!C30</f>
        <v>53640000</v>
      </c>
      <c r="C30" s="564"/>
      <c r="D30" s="564"/>
      <c r="E30" s="563">
        <f>'Sources and Uses Budget'!S30</f>
        <v>53640000</v>
      </c>
      <c r="F30" s="564"/>
      <c r="G30" s="564"/>
      <c r="H30" s="563">
        <f>'Sources and Uses Budget'!T30</f>
        <v>0</v>
      </c>
      <c r="I30" s="564"/>
      <c r="J30" s="564"/>
      <c r="K30" s="561"/>
    </row>
    <row r="31" spans="1:11" s="562" customFormat="1">
      <c r="A31" s="215" t="s">
        <v>635</v>
      </c>
      <c r="B31" s="563">
        <f>'Sources and Uses Budget'!C31</f>
        <v>3495960</v>
      </c>
      <c r="C31" s="564"/>
      <c r="D31" s="564"/>
      <c r="E31" s="563">
        <f>'Sources and Uses Budget'!S31</f>
        <v>3495960</v>
      </c>
      <c r="F31" s="564"/>
      <c r="G31" s="564"/>
      <c r="H31" s="563">
        <f>'Sources and Uses Budget'!T31</f>
        <v>0</v>
      </c>
      <c r="I31" s="564"/>
      <c r="J31" s="564"/>
      <c r="K31" s="561"/>
    </row>
    <row r="32" spans="1:11" s="562" customFormat="1">
      <c r="A32" s="215" t="s">
        <v>142</v>
      </c>
      <c r="B32" s="563">
        <f>'Sources and Uses Budget'!C32</f>
        <v>1235239</v>
      </c>
      <c r="C32" s="564"/>
      <c r="D32" s="564"/>
      <c r="E32" s="563">
        <f>'Sources and Uses Budget'!S32</f>
        <v>1235239</v>
      </c>
      <c r="F32" s="564"/>
      <c r="G32" s="564"/>
      <c r="H32" s="563">
        <f>'Sources and Uses Budget'!T32</f>
        <v>0</v>
      </c>
      <c r="I32" s="564"/>
      <c r="J32" s="564"/>
      <c r="K32" s="561"/>
    </row>
    <row r="33" spans="1:11" s="562" customFormat="1">
      <c r="A33" s="215" t="s">
        <v>143</v>
      </c>
      <c r="B33" s="563">
        <f>'Sources and Uses Budget'!C33</f>
        <v>3705718</v>
      </c>
      <c r="C33" s="564"/>
      <c r="D33" s="564"/>
      <c r="E33" s="563">
        <f>'Sources and Uses Budget'!S33</f>
        <v>3705718</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551500</v>
      </c>
      <c r="C35" s="564"/>
      <c r="D35" s="564"/>
      <c r="E35" s="563">
        <f>'Sources and Uses Budget'!S35</f>
        <v>551500</v>
      </c>
      <c r="F35" s="564"/>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67038417</v>
      </c>
      <c r="C38" s="563">
        <f>SUM(C29:C37)</f>
        <v>0</v>
      </c>
      <c r="D38" s="563">
        <f>SUM(D29:D37)</f>
        <v>0</v>
      </c>
      <c r="E38" s="563">
        <f>'Sources and Uses Budget'!S38</f>
        <v>67038417</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650000</v>
      </c>
      <c r="C40" s="564"/>
      <c r="D40" s="564"/>
      <c r="E40" s="563">
        <f>'Sources and Uses Budget'!S40</f>
        <v>650000</v>
      </c>
      <c r="F40" s="564"/>
      <c r="G40" s="564"/>
      <c r="H40" s="563">
        <f>'Sources and Uses Budget'!T40</f>
        <v>0</v>
      </c>
      <c r="I40" s="564"/>
      <c r="J40" s="564"/>
      <c r="K40" s="561"/>
    </row>
    <row r="41" spans="1:11" s="562" customFormat="1">
      <c r="A41" s="566" t="s">
        <v>151</v>
      </c>
      <c r="B41" s="563">
        <f>'Sources and Uses Budget'!C41</f>
        <v>150000</v>
      </c>
      <c r="C41" s="564"/>
      <c r="D41" s="564"/>
      <c r="E41" s="563">
        <f>'Sources and Uses Budget'!S41</f>
        <v>150000</v>
      </c>
      <c r="F41" s="564"/>
      <c r="G41" s="564"/>
      <c r="H41" s="563">
        <f>'Sources and Uses Budget'!T41</f>
        <v>0</v>
      </c>
      <c r="I41" s="564"/>
      <c r="J41" s="564"/>
      <c r="K41" s="561"/>
    </row>
    <row r="42" spans="1:11" s="562" customFormat="1">
      <c r="A42" s="567" t="s">
        <v>152</v>
      </c>
      <c r="B42" s="563">
        <f>'Sources and Uses Budget'!C42</f>
        <v>800000</v>
      </c>
      <c r="C42" s="563">
        <f>SUM(C39:C41)</f>
        <v>0</v>
      </c>
      <c r="D42" s="563">
        <f>SUM(D39:D41)</f>
        <v>0</v>
      </c>
      <c r="E42" s="563">
        <f>'Sources and Uses Budget'!S42</f>
        <v>800000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290000</v>
      </c>
      <c r="C43" s="564"/>
      <c r="D43" s="564"/>
      <c r="E43" s="563">
        <f>'Sources and Uses Budget'!S43</f>
        <v>290000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3780000</v>
      </c>
      <c r="C45" s="564"/>
      <c r="D45" s="564"/>
      <c r="E45" s="563">
        <f>'Sources and Uses Budget'!S45</f>
        <v>3780000</v>
      </c>
      <c r="F45" s="564"/>
      <c r="G45" s="564"/>
      <c r="H45" s="563">
        <f>'Sources and Uses Budget'!T45</f>
        <v>0</v>
      </c>
      <c r="I45" s="564"/>
      <c r="J45" s="564"/>
      <c r="K45" s="561"/>
    </row>
    <row r="46" spans="1:11" s="562" customFormat="1">
      <c r="A46" s="566" t="s">
        <v>156</v>
      </c>
      <c r="B46" s="563">
        <f>'Sources and Uses Budget'!C46</f>
        <v>427500</v>
      </c>
      <c r="C46" s="564"/>
      <c r="D46" s="564"/>
      <c r="E46" s="563">
        <f>'Sources and Uses Budget'!S46</f>
        <v>427500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100000</v>
      </c>
      <c r="C49" s="564"/>
      <c r="D49" s="564"/>
      <c r="E49" s="563">
        <f>'Sources and Uses Budget'!S49</f>
        <v>100000</v>
      </c>
      <c r="F49" s="564"/>
      <c r="G49" s="564"/>
      <c r="H49" s="563">
        <f>'Sources and Uses Budget'!T49</f>
        <v>0</v>
      </c>
      <c r="I49" s="564"/>
      <c r="J49" s="564"/>
      <c r="K49" s="561"/>
    </row>
    <row r="50" spans="1:11" s="562" customFormat="1">
      <c r="A50" s="566" t="s">
        <v>161</v>
      </c>
      <c r="B50" s="563">
        <f>'Sources and Uses Budget'!C50</f>
        <v>100000</v>
      </c>
      <c r="C50" s="564"/>
      <c r="D50" s="564"/>
      <c r="E50" s="563">
        <f>'Sources and Uses Budget'!S50</f>
        <v>100000</v>
      </c>
      <c r="F50" s="564"/>
      <c r="G50" s="564"/>
      <c r="H50" s="563">
        <f>'Sources and Uses Budget'!T50</f>
        <v>0</v>
      </c>
      <c r="I50" s="564"/>
      <c r="J50" s="564"/>
      <c r="K50" s="561"/>
    </row>
    <row r="51" spans="1:11" s="562" customFormat="1">
      <c r="A51" s="566" t="s">
        <v>159</v>
      </c>
      <c r="B51" s="563">
        <f>'Sources and Uses Budget'!C51</f>
        <v>120000</v>
      </c>
      <c r="C51" s="564"/>
      <c r="D51" s="564"/>
      <c r="E51" s="563">
        <f>'Sources and Uses Budget'!S51</f>
        <v>120000</v>
      </c>
      <c r="F51" s="564"/>
      <c r="G51" s="564"/>
      <c r="H51" s="563">
        <f>'Sources and Uses Budget'!T51</f>
        <v>0</v>
      </c>
      <c r="I51" s="564"/>
      <c r="J51" s="564"/>
      <c r="K51" s="561"/>
    </row>
    <row r="52" spans="1:11" s="562" customFormat="1">
      <c r="A52" s="566" t="s">
        <v>160</v>
      </c>
      <c r="B52" s="563">
        <f>'Sources and Uses Budget'!C52</f>
        <v>500000</v>
      </c>
      <c r="C52" s="564"/>
      <c r="D52" s="564"/>
      <c r="E52" s="563">
        <f>'Sources and Uses Budget'!S52</f>
        <v>500000</v>
      </c>
      <c r="F52" s="564"/>
      <c r="G52" s="564"/>
      <c r="H52" s="563">
        <f>'Sources and Uses Budget'!T52</f>
        <v>0</v>
      </c>
      <c r="I52" s="564"/>
      <c r="J52" s="564"/>
      <c r="K52" s="561"/>
    </row>
    <row r="53" spans="1:11" s="562" customFormat="1">
      <c r="A53" s="569" t="str">
        <f>'Sources and Uses Budget'!$A53</f>
        <v>Lender Costs (Legal, Etc.)</v>
      </c>
      <c r="B53" s="563">
        <f>'Sources and Uses Budget'!C53</f>
        <v>120000</v>
      </c>
      <c r="C53" s="564"/>
      <c r="D53" s="564"/>
      <c r="E53" s="563">
        <f>'Sources and Uses Budget'!S53</f>
        <v>120000</v>
      </c>
      <c r="F53" s="564"/>
      <c r="G53" s="564"/>
      <c r="H53" s="563">
        <f>'Sources and Uses Budget'!T53</f>
        <v>0</v>
      </c>
      <c r="I53" s="564"/>
      <c r="J53" s="564"/>
      <c r="K53" s="561"/>
    </row>
    <row r="54" spans="1:11" s="573" customFormat="1">
      <c r="A54" s="567" t="s">
        <v>162</v>
      </c>
      <c r="B54" s="563">
        <f>'Sources and Uses Budget'!C54</f>
        <v>5147500</v>
      </c>
      <c r="C54" s="570">
        <f>SUM(C45:C53)</f>
        <v>0</v>
      </c>
      <c r="D54" s="570">
        <f>SUM(D45:D53)</f>
        <v>0</v>
      </c>
      <c r="E54" s="563">
        <f>'Sources and Uses Budget'!S54</f>
        <v>5147500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122500</v>
      </c>
      <c r="C56" s="564"/>
      <c r="D56" s="564"/>
      <c r="E56" s="565"/>
      <c r="F56" s="565"/>
      <c r="G56" s="565"/>
      <c r="H56" s="565"/>
      <c r="I56" s="565"/>
      <c r="J56" s="565"/>
      <c r="K56" s="561"/>
    </row>
    <row r="57" spans="1:11" s="562" customFormat="1" ht="12" customHeight="1">
      <c r="A57" s="566" t="s">
        <v>157</v>
      </c>
      <c r="B57" s="563">
        <f>'Sources and Uses Budget'!C57</f>
        <v>40000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Bond Counsel</v>
      </c>
      <c r="B61" s="563">
        <f>'Sources and Uses Budget'!C61</f>
        <v>80000</v>
      </c>
      <c r="C61" s="564"/>
      <c r="D61" s="564"/>
      <c r="E61" s="565"/>
      <c r="F61" s="565"/>
      <c r="G61" s="565"/>
      <c r="H61" s="565"/>
      <c r="I61" s="565"/>
      <c r="J61" s="565"/>
      <c r="K61" s="561"/>
    </row>
    <row r="62" spans="1:11" s="562" customFormat="1" ht="13.75" customHeight="1">
      <c r="A62" s="567" t="s">
        <v>309</v>
      </c>
      <c r="B62" s="563">
        <f>'Sources and Uses Budget'!C62</f>
        <v>252500</v>
      </c>
      <c r="C62" s="563">
        <f>SUM(C56:C61)</f>
        <v>0</v>
      </c>
      <c r="D62" s="563">
        <f>SUM(D56:D61)</f>
        <v>0</v>
      </c>
      <c r="E62" s="565"/>
      <c r="F62" s="565"/>
      <c r="G62" s="565"/>
      <c r="H62" s="565"/>
      <c r="I62" s="565"/>
      <c r="J62" s="565"/>
      <c r="K62" s="561"/>
    </row>
    <row r="63" spans="1:11" s="562" customFormat="1">
      <c r="A63" s="574" t="s">
        <v>310</v>
      </c>
      <c r="B63" s="563">
        <f>'Sources and Uses Budget'!C63</f>
        <v>76442629</v>
      </c>
      <c r="C63" s="563">
        <f>SUM(C8+C11+C13+C14+C15+C26+C27+C38+C42+C43+C54+C62)</f>
        <v>0</v>
      </c>
      <c r="D63" s="563">
        <f>SUM(D8+D11+D13+D14+D15+D26+D27+D38+D42+D43+D54+D62)</f>
        <v>0</v>
      </c>
      <c r="E63" s="563">
        <f>'Sources and Uses Budget'!S63</f>
        <v>73491917</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1948</v>
      </c>
      <c r="B64" s="560"/>
      <c r="C64" s="560"/>
      <c r="D64" s="560"/>
      <c r="E64" s="560"/>
      <c r="F64" s="560"/>
      <c r="G64" s="560"/>
      <c r="H64" s="560"/>
      <c r="I64" s="560"/>
      <c r="J64" s="560"/>
      <c r="K64" s="561"/>
    </row>
    <row r="65" spans="1:11" s="562" customFormat="1">
      <c r="A65" s="215" t="s">
        <v>176</v>
      </c>
      <c r="B65" s="563">
        <f>'Sources and Uses Budget'!C65</f>
        <v>100000</v>
      </c>
      <c r="C65" s="564"/>
      <c r="D65" s="564"/>
      <c r="E65" s="563">
        <f>'Sources and Uses Budget'!S65</f>
        <v>100000</v>
      </c>
      <c r="F65" s="564"/>
      <c r="G65" s="564"/>
      <c r="H65" s="563">
        <f>'Sources and Uses Budget'!T65</f>
        <v>0</v>
      </c>
      <c r="I65" s="564"/>
      <c r="J65" s="564"/>
      <c r="K65" s="561"/>
    </row>
    <row r="66" spans="1:11" s="562" customFormat="1" ht="23.2">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100000</v>
      </c>
      <c r="C70" s="563">
        <f>SUM(C64:C69)</f>
        <v>0</v>
      </c>
      <c r="D70" s="563">
        <f>SUM(D64:D69)</f>
        <v>0</v>
      </c>
      <c r="E70" s="563">
        <f>'Sources and Uses Budget'!S70</f>
        <v>100000</v>
      </c>
      <c r="F70" s="570">
        <f>SUM(F65:F69)</f>
        <v>0</v>
      </c>
      <c r="G70" s="570">
        <f>SUM(G65:G69)</f>
        <v>0</v>
      </c>
      <c r="H70" s="563">
        <f>'Sources and Uses Budget'!T70</f>
        <v>0</v>
      </c>
      <c r="I70" s="570">
        <f>SUM(I65:I69)</f>
        <v>0</v>
      </c>
      <c r="J70" s="570">
        <f>SUM(J65:J69)</f>
        <v>0</v>
      </c>
      <c r="K70" s="561"/>
    </row>
    <row r="71" spans="1:11" s="562" customFormat="1" ht="12.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819939</v>
      </c>
      <c r="C75" s="564"/>
      <c r="D75" s="564"/>
      <c r="E75" s="565"/>
      <c r="F75" s="565"/>
      <c r="G75" s="565"/>
      <c r="H75" s="565"/>
      <c r="I75" s="565"/>
      <c r="J75" s="565"/>
      <c r="K75" s="561"/>
    </row>
    <row r="76" spans="1:11" s="562" customFormat="1">
      <c r="A76" s="569" t="str">
        <f>'Sources and Uses Budget'!$A76</f>
        <v>Post Construction Interest</v>
      </c>
      <c r="B76" s="563">
        <f>'Sources and Uses Budget'!C76</f>
        <v>500000</v>
      </c>
      <c r="C76" s="564"/>
      <c r="D76" s="564"/>
      <c r="E76" s="565"/>
      <c r="F76" s="565"/>
      <c r="G76" s="565"/>
      <c r="H76" s="565"/>
      <c r="I76" s="565"/>
      <c r="J76" s="565"/>
      <c r="K76" s="561"/>
    </row>
    <row r="77" spans="1:11" s="562" customFormat="1">
      <c r="A77" s="567" t="s">
        <v>641</v>
      </c>
      <c r="B77" s="563">
        <f>'Sources and Uses Budget'!C77</f>
        <v>1319939</v>
      </c>
      <c r="C77" s="563">
        <f>SUM(C72:C76)</f>
        <v>0</v>
      </c>
      <c r="D77" s="563">
        <f>SUM(D72:D76)</f>
        <v>0</v>
      </c>
      <c r="E77" s="565"/>
      <c r="F77" s="565"/>
      <c r="G77" s="565"/>
      <c r="H77" s="565"/>
      <c r="I77" s="565"/>
      <c r="J77" s="565"/>
      <c r="K77" s="561"/>
    </row>
    <row r="78" spans="1:11" s="562" customFormat="1" ht="12.1">
      <c r="A78" s="559" t="s">
        <v>1415</v>
      </c>
      <c r="B78" s="560"/>
      <c r="C78" s="560"/>
      <c r="D78" s="560"/>
      <c r="E78" s="560"/>
      <c r="F78" s="560"/>
      <c r="G78" s="560"/>
      <c r="H78" s="560"/>
      <c r="I78" s="560"/>
      <c r="J78" s="560"/>
      <c r="K78" s="561"/>
    </row>
    <row r="79" spans="1:11" s="562" customFormat="1">
      <c r="A79" s="566" t="s">
        <v>1417</v>
      </c>
      <c r="B79" s="563">
        <f>'Sources and Uses Budget'!C79</f>
        <v>3400000</v>
      </c>
      <c r="C79" s="564"/>
      <c r="D79" s="564"/>
      <c r="E79" s="563">
        <f>'Sources and Uses Budget'!S79</f>
        <v>3400000</v>
      </c>
      <c r="F79" s="564"/>
      <c r="G79" s="564"/>
      <c r="H79" s="563">
        <f>'Sources and Uses Budget'!T79</f>
        <v>0</v>
      </c>
      <c r="I79" s="564"/>
      <c r="J79" s="564"/>
      <c r="K79" s="561"/>
    </row>
    <row r="80" spans="1:11" s="562" customFormat="1">
      <c r="A80" s="566" t="s">
        <v>61</v>
      </c>
      <c r="B80" s="563">
        <f>'Sources and Uses Budget'!C80</f>
        <v>800000</v>
      </c>
      <c r="C80" s="564"/>
      <c r="D80" s="564"/>
      <c r="E80" s="563">
        <f>'Sources and Uses Budget'!S80</f>
        <v>800000</v>
      </c>
      <c r="F80" s="564"/>
      <c r="G80" s="564"/>
      <c r="H80" s="563">
        <f>'Sources and Uses Budget'!T80</f>
        <v>0</v>
      </c>
      <c r="I80" s="564"/>
      <c r="J80" s="564"/>
      <c r="K80" s="561"/>
    </row>
    <row r="81" spans="1:11" s="562" customFormat="1">
      <c r="A81" s="567" t="s">
        <v>1414</v>
      </c>
      <c r="B81" s="563">
        <f>'Sources and Uses Budget'!C81</f>
        <v>4200000</v>
      </c>
      <c r="C81" s="563">
        <f>SUM(C79:C80)</f>
        <v>0</v>
      </c>
      <c r="D81" s="563">
        <f>SUM(D79:D80)</f>
        <v>0</v>
      </c>
      <c r="E81" s="563">
        <f>'Sources and Uses Budget'!S81</f>
        <v>4200000</v>
      </c>
      <c r="F81" s="563">
        <f>SUM(F79:F80)</f>
        <v>0</v>
      </c>
      <c r="G81" s="563">
        <f>SUM(G79:G80)</f>
        <v>0</v>
      </c>
      <c r="H81" s="563">
        <f>'Sources and Uses Budget'!T81</f>
        <v>0</v>
      </c>
      <c r="I81" s="563">
        <f>SUM(I79:I80)</f>
        <v>0</v>
      </c>
      <c r="J81" s="563">
        <f>SUM(J79:J80)</f>
        <v>0</v>
      </c>
      <c r="K81" s="561"/>
    </row>
    <row r="82" spans="1:11" s="562" customFormat="1" ht="12.1">
      <c r="A82" s="559" t="s">
        <v>823</v>
      </c>
      <c r="B82" s="560"/>
      <c r="C82" s="560"/>
      <c r="D82" s="560"/>
      <c r="E82" s="560"/>
      <c r="F82" s="560"/>
      <c r="G82" s="560"/>
      <c r="H82" s="560"/>
      <c r="I82" s="560"/>
      <c r="J82" s="560"/>
      <c r="K82" s="561"/>
    </row>
    <row r="83" spans="1:11" s="562" customFormat="1" ht="13.75" customHeight="1">
      <c r="A83" s="215" t="s">
        <v>824</v>
      </c>
      <c r="B83" s="563">
        <f>'Sources and Uses Budget'!C83</f>
        <v>176418</v>
      </c>
      <c r="C83" s="564"/>
      <c r="D83" s="564"/>
      <c r="E83" s="565"/>
      <c r="F83" s="565"/>
      <c r="G83" s="565"/>
      <c r="H83" s="565"/>
      <c r="I83" s="565"/>
      <c r="J83" s="565"/>
      <c r="K83" s="561"/>
    </row>
    <row r="84" spans="1:11" s="562" customFormat="1">
      <c r="A84" s="215" t="s">
        <v>825</v>
      </c>
      <c r="B84" s="563">
        <f>'Sources and Uses Budget'!C84</f>
        <v>10000</v>
      </c>
      <c r="C84" s="564"/>
      <c r="D84" s="564"/>
      <c r="E84" s="563">
        <f>'Sources and Uses Budget'!S84</f>
        <v>10000</v>
      </c>
      <c r="F84" s="564"/>
      <c r="G84" s="564"/>
      <c r="H84" s="563">
        <f>'Sources and Uses Budget'!T84</f>
        <v>0</v>
      </c>
      <c r="I84" s="564"/>
      <c r="J84" s="564"/>
      <c r="K84" s="561"/>
    </row>
    <row r="85" spans="1:11" s="562" customFormat="1">
      <c r="A85" s="215" t="s">
        <v>826</v>
      </c>
      <c r="B85" s="563">
        <f>'Sources and Uses Budget'!C85</f>
        <v>13556525</v>
      </c>
      <c r="C85" s="564"/>
      <c r="D85" s="564"/>
      <c r="E85" s="563">
        <f>'Sources and Uses Budget'!S85</f>
        <v>13556525</v>
      </c>
      <c r="F85" s="564"/>
      <c r="G85" s="564"/>
      <c r="H85" s="563">
        <f>'Sources and Uses Budget'!T85</f>
        <v>0</v>
      </c>
      <c r="I85" s="564"/>
      <c r="J85" s="564"/>
      <c r="K85" s="561"/>
    </row>
    <row r="86" spans="1:11" s="562" customFormat="1">
      <c r="A86" s="215" t="s">
        <v>827</v>
      </c>
      <c r="B86" s="563">
        <f>'Sources and Uses Budget'!C86</f>
        <v>700000</v>
      </c>
      <c r="C86" s="564"/>
      <c r="D86" s="564"/>
      <c r="E86" s="563">
        <f>'Sources and Uses Budget'!S86</f>
        <v>700000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172097</v>
      </c>
      <c r="C88" s="564"/>
      <c r="D88" s="564"/>
      <c r="E88" s="565"/>
      <c r="F88" s="565"/>
      <c r="G88" s="565"/>
      <c r="H88" s="565"/>
      <c r="I88" s="565"/>
      <c r="J88" s="565"/>
      <c r="K88" s="561"/>
    </row>
    <row r="89" spans="1:11" s="562" customFormat="1">
      <c r="A89" s="215" t="s">
        <v>830</v>
      </c>
      <c r="B89" s="563">
        <f>'Sources and Uses Budget'!C89</f>
        <v>60000</v>
      </c>
      <c r="C89" s="564"/>
      <c r="D89" s="564"/>
      <c r="E89" s="563">
        <f>'Sources and Uses Budget'!S89</f>
        <v>60000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15000</v>
      </c>
      <c r="C91" s="564"/>
      <c r="D91" s="564"/>
      <c r="E91" s="563">
        <f>'Sources and Uses Budget'!S91</f>
        <v>15000</v>
      </c>
      <c r="F91" s="564"/>
      <c r="G91" s="564"/>
      <c r="H91" s="563">
        <f>'Sources and Uses Budget'!T91</f>
        <v>0</v>
      </c>
      <c r="I91" s="564"/>
      <c r="J91" s="564"/>
      <c r="K91" s="561"/>
    </row>
    <row r="92" spans="1:11" s="562" customFormat="1">
      <c r="A92" s="856" t="s">
        <v>1416</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14710040</v>
      </c>
      <c r="C96" s="563">
        <f>SUM(C83:C95)</f>
        <v>0</v>
      </c>
      <c r="D96" s="563">
        <f>SUM(D83:D95)</f>
        <v>0</v>
      </c>
      <c r="E96" s="563">
        <f>'Sources and Uses Budget'!S96</f>
        <v>14361525</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96772608</v>
      </c>
      <c r="C97" s="563">
        <f>SUM(C63+C70+C77+C81+C96)</f>
        <v>0</v>
      </c>
      <c r="D97" s="563">
        <f>SUM(D63+D70+D77+D81+D96)</f>
        <v>0</v>
      </c>
      <c r="E97" s="563">
        <f>'Sources and Uses Budget'!S97</f>
        <v>92153442</v>
      </c>
      <c r="F97" s="570">
        <f>SUM(+F63+F70+F81+F96)</f>
        <v>0</v>
      </c>
      <c r="G97" s="570">
        <f>SUM(+G63+G70+G81+G96)</f>
        <v>0</v>
      </c>
      <c r="H97" s="563">
        <f>'Sources and Uses Budget'!T97</f>
        <v>0</v>
      </c>
      <c r="I97" s="570">
        <f>SUM(I63+I70+I81+I96)</f>
        <v>0</v>
      </c>
      <c r="J97" s="570">
        <f>SUM(J63+J70+J81+J96)</f>
        <v>0</v>
      </c>
      <c r="K97" s="561"/>
    </row>
    <row r="98" spans="1:11" s="562" customFormat="1" ht="12.1">
      <c r="A98" s="559" t="s">
        <v>834</v>
      </c>
      <c r="B98" s="560"/>
      <c r="C98" s="560"/>
      <c r="D98" s="560"/>
      <c r="E98" s="560"/>
      <c r="F98" s="560"/>
      <c r="G98" s="560"/>
      <c r="H98" s="560"/>
      <c r="I98" s="560"/>
      <c r="J98" s="560"/>
      <c r="K98" s="561"/>
    </row>
    <row r="99" spans="1:11" s="562" customFormat="1">
      <c r="A99" s="215" t="s">
        <v>835</v>
      </c>
      <c r="B99" s="563">
        <f>'Sources and Uses Budget'!C99</f>
        <v>13823016</v>
      </c>
      <c r="C99" s="564"/>
      <c r="D99" s="564"/>
      <c r="E99" s="563">
        <f>'Sources and Uses Budget'!S99</f>
        <v>13823016</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13823016</v>
      </c>
      <c r="C104" s="563">
        <f>SUM(C99:C103)</f>
        <v>0</v>
      </c>
      <c r="D104" s="563">
        <f>SUM(D99:D103)</f>
        <v>0</v>
      </c>
      <c r="E104" s="563">
        <f>'Sources and Uses Budget'!S104</f>
        <v>13823016</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110595624</v>
      </c>
      <c r="C105" s="570">
        <f>SUM(C97+C104)</f>
        <v>0</v>
      </c>
      <c r="D105" s="570">
        <f>SUM(D97+D104)</f>
        <v>0</v>
      </c>
      <c r="E105" s="563">
        <f>'Sources and Uses Budget'!S105</f>
        <v>105976458</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105976458</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1"/>
      <c r="E124" s="2542"/>
      <c r="F124" s="2542"/>
      <c r="G124" s="2542"/>
      <c r="H124" s="2542"/>
      <c r="I124" s="2542"/>
      <c r="J124" s="581"/>
      <c r="K124" s="561"/>
    </row>
    <row r="125" spans="1:11" s="562" customFormat="1" ht="12.6">
      <c r="A125" s="592"/>
      <c r="B125" s="591"/>
      <c r="C125" s="592"/>
      <c r="D125" s="2542"/>
      <c r="E125" s="2542"/>
      <c r="F125" s="2542"/>
      <c r="G125" s="2542"/>
      <c r="H125" s="2542"/>
      <c r="I125" s="2542"/>
      <c r="J125" s="581"/>
      <c r="K125" s="561"/>
    </row>
    <row r="126" spans="1:11" s="562" customFormat="1" ht="12.6">
      <c r="A126" s="592"/>
      <c r="B126" s="591"/>
      <c r="C126" s="592"/>
      <c r="D126" s="2542"/>
      <c r="E126" s="2542"/>
      <c r="F126" s="2542"/>
      <c r="G126" s="2542"/>
      <c r="H126" s="2542"/>
      <c r="I126" s="2542"/>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43"/>
      <c r="B139" s="2544"/>
      <c r="C139" s="2544"/>
      <c r="D139" s="604"/>
      <c r="E139" s="592"/>
      <c r="F139" s="592"/>
      <c r="G139" s="592"/>
    </row>
    <row r="140" spans="1:11" ht="12" customHeight="1">
      <c r="A140" s="2545"/>
      <c r="B140" s="2546"/>
      <c r="C140" s="254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980" t="s">
        <v>1983</v>
      </c>
      <c r="B1" s="2981"/>
      <c r="C1" s="2981"/>
      <c r="D1" s="2981"/>
      <c r="E1" s="2981"/>
      <c r="F1" s="2981"/>
      <c r="G1" s="2981"/>
      <c r="H1" s="2981"/>
      <c r="I1" s="2981"/>
      <c r="J1" s="2981"/>
      <c r="K1" s="2981"/>
      <c r="L1" s="2981"/>
      <c r="M1" s="2981"/>
      <c r="N1" s="2981"/>
      <c r="O1" s="2981"/>
      <c r="P1" s="2981"/>
      <c r="Q1" s="2981"/>
      <c r="R1" s="2981"/>
      <c r="S1" s="2981"/>
      <c r="T1" s="2981"/>
      <c r="U1" s="2981"/>
      <c r="V1" s="2981"/>
      <c r="W1" s="2981"/>
      <c r="X1" s="2981"/>
      <c r="Y1" s="2981"/>
      <c r="Z1" s="2981"/>
      <c r="AA1" s="2981"/>
      <c r="AB1" s="2981"/>
      <c r="AC1" s="2981"/>
      <c r="AD1" s="2981"/>
      <c r="AE1" s="2981"/>
      <c r="AF1" s="2981"/>
      <c r="AG1" s="2981"/>
      <c r="AH1" s="2981"/>
      <c r="AI1" s="2981"/>
      <c r="AJ1" s="2981"/>
      <c r="AK1" s="2981"/>
      <c r="AL1" s="2981"/>
      <c r="AM1" s="2981"/>
      <c r="AN1" s="2981"/>
      <c r="AO1" s="2981"/>
      <c r="AP1" s="2981"/>
      <c r="AQ1" s="2981"/>
      <c r="AR1" s="2981"/>
      <c r="AS1" s="2981"/>
      <c r="AT1" s="2981"/>
      <c r="AU1" s="2981"/>
      <c r="AV1" s="2981"/>
      <c r="AW1" s="2981"/>
      <c r="AX1" s="2981"/>
      <c r="AY1" s="2981"/>
      <c r="AZ1" s="2981"/>
      <c r="BA1" s="2981"/>
      <c r="BB1" s="2981"/>
      <c r="BC1" s="2981"/>
      <c r="BD1" s="2981"/>
      <c r="BE1" s="2982"/>
    </row>
    <row r="2" spans="1:65" ht="15.75" customHeight="1">
      <c r="A2" s="2983" t="s">
        <v>1984</v>
      </c>
      <c r="B2" s="2984"/>
      <c r="C2" s="2984"/>
      <c r="D2" s="2984"/>
      <c r="E2" s="2984"/>
      <c r="F2" s="2984"/>
      <c r="G2" s="2984"/>
      <c r="H2" s="2984"/>
      <c r="I2" s="2984"/>
      <c r="J2" s="2984"/>
      <c r="K2" s="2984"/>
      <c r="L2" s="2984"/>
      <c r="M2" s="2984"/>
      <c r="N2" s="2984"/>
      <c r="O2" s="2984"/>
      <c r="P2" s="2984"/>
      <c r="Q2" s="2984"/>
      <c r="R2" s="2984"/>
      <c r="S2" s="2984"/>
      <c r="T2" s="2984"/>
      <c r="U2" s="2984"/>
      <c r="V2" s="2984"/>
      <c r="W2" s="2984"/>
      <c r="X2" s="2984"/>
      <c r="Y2" s="2984"/>
      <c r="Z2" s="2984"/>
      <c r="AA2" s="2984"/>
      <c r="AB2" s="2984"/>
      <c r="AC2" s="2984"/>
      <c r="AD2" s="2984"/>
      <c r="AE2" s="2984"/>
      <c r="AF2" s="2984"/>
      <c r="AG2" s="2984"/>
      <c r="AH2" s="2984"/>
      <c r="AI2" s="2984"/>
      <c r="AJ2" s="2984"/>
      <c r="AK2" s="2984"/>
      <c r="AL2" s="2984"/>
      <c r="AM2" s="2984"/>
      <c r="AN2" s="2984"/>
      <c r="AO2" s="2984"/>
      <c r="AP2" s="2984"/>
      <c r="AQ2" s="2984"/>
      <c r="AR2" s="2984"/>
      <c r="AS2" s="2984"/>
      <c r="AT2" s="2984"/>
      <c r="AU2" s="2984"/>
      <c r="AV2" s="2984"/>
      <c r="AW2" s="2984"/>
      <c r="AX2" s="2984"/>
      <c r="AY2" s="2984"/>
      <c r="AZ2" s="2984"/>
      <c r="BA2" s="2984"/>
      <c r="BB2" s="2984"/>
      <c r="BC2" s="2984"/>
      <c r="BD2" s="2984"/>
      <c r="BE2" s="2985"/>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11" t="str">
        <f>IF(Application!H18="","",Application!H18)</f>
        <v>The Lyla</v>
      </c>
      <c r="M4" s="2912"/>
      <c r="N4" s="2912"/>
      <c r="O4" s="2912"/>
      <c r="P4" s="2912"/>
      <c r="Q4" s="2912"/>
      <c r="R4" s="2912"/>
      <c r="S4" s="2912"/>
      <c r="T4" s="2912"/>
      <c r="U4" s="2912"/>
      <c r="V4" s="2912"/>
      <c r="W4" s="2912"/>
      <c r="X4" s="2912"/>
      <c r="Y4" s="2912"/>
      <c r="Z4" s="2912"/>
      <c r="AA4" s="2912"/>
      <c r="AB4" s="2912"/>
      <c r="AC4" s="2913"/>
      <c r="AD4" s="1763"/>
      <c r="AE4" s="1763"/>
      <c r="AF4" s="2612" t="s">
        <v>1985</v>
      </c>
      <c r="AG4" s="2613"/>
      <c r="AH4" s="2613"/>
      <c r="AI4" s="2613"/>
      <c r="AJ4" s="2613"/>
      <c r="AK4" s="2613"/>
      <c r="AL4" s="2613"/>
      <c r="AM4" s="2613"/>
      <c r="AN4" s="2613"/>
      <c r="AO4" s="2613"/>
      <c r="AP4" s="2986">
        <v>44562</v>
      </c>
      <c r="AQ4" s="2959"/>
      <c r="AR4" s="2959"/>
      <c r="AS4" s="2959"/>
      <c r="AT4" s="2959"/>
      <c r="AU4" s="2960"/>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68" t="s">
        <v>1986</v>
      </c>
      <c r="AG5" s="2669"/>
      <c r="AH5" s="2669"/>
      <c r="AI5" s="2669"/>
      <c r="AJ5" s="2669"/>
      <c r="AK5" s="2669"/>
      <c r="AL5" s="2669"/>
      <c r="AM5" s="2669"/>
      <c r="AN5" s="2669"/>
      <c r="AO5" s="2669"/>
      <c r="AP5" s="2986">
        <v>44562</v>
      </c>
      <c r="AQ5" s="2959"/>
      <c r="AR5" s="2959"/>
      <c r="AS5" s="2959"/>
      <c r="AT5" s="2959"/>
      <c r="AU5" s="2960"/>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65" t="str">
        <f>IF(Application!H16="","",Application!H16)</f>
        <v>Riverside Charitable Corporation, a California Nonprofit Public Benefit Corporation</v>
      </c>
      <c r="M6" s="2966"/>
      <c r="N6" s="2966"/>
      <c r="O6" s="2966"/>
      <c r="P6" s="2966"/>
      <c r="Q6" s="2966"/>
      <c r="R6" s="2966"/>
      <c r="S6" s="2966"/>
      <c r="T6" s="2966"/>
      <c r="U6" s="2966"/>
      <c r="V6" s="2966"/>
      <c r="W6" s="2966"/>
      <c r="X6" s="2966"/>
      <c r="Y6" s="2966"/>
      <c r="Z6" s="2966"/>
      <c r="AA6" s="2966"/>
      <c r="AB6" s="2966"/>
      <c r="AC6" s="2967"/>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68" t="str">
        <f>Application!T196</f>
        <v>No</v>
      </c>
      <c r="AC8" s="2969"/>
      <c r="AD8" s="2970"/>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1990</v>
      </c>
      <c r="C10" s="1765"/>
      <c r="D10" s="1765"/>
      <c r="E10" s="1765"/>
      <c r="F10" s="1765"/>
      <c r="G10" s="1765"/>
      <c r="H10" s="1765"/>
      <c r="I10" s="1765"/>
      <c r="J10" s="1765"/>
      <c r="K10" s="1765"/>
      <c r="L10" s="1765"/>
      <c r="M10" s="1763"/>
      <c r="N10" s="2971">
        <f>Application!AO637</f>
        <v>24500000</v>
      </c>
      <c r="O10" s="2972"/>
      <c r="P10" s="2972"/>
      <c r="Q10" s="2972"/>
      <c r="R10" s="2972"/>
      <c r="S10" s="2972"/>
      <c r="T10" s="2973"/>
      <c r="U10" s="1763"/>
      <c r="V10" s="1763"/>
      <c r="W10" s="1763"/>
      <c r="X10" s="2653" t="s">
        <v>1991</v>
      </c>
      <c r="Y10" s="2654"/>
      <c r="Z10" s="2654"/>
      <c r="AA10" s="2654"/>
      <c r="AB10" s="2654"/>
      <c r="AC10" s="2654"/>
      <c r="AD10" s="2654"/>
      <c r="AE10" s="2654"/>
      <c r="AF10" s="2654"/>
      <c r="AG10" s="2654"/>
      <c r="AH10" s="2654"/>
      <c r="AI10" s="2654"/>
      <c r="AJ10" s="2654"/>
      <c r="AK10" s="2655"/>
      <c r="AL10" s="2990">
        <f>Application!W471</f>
        <v>45</v>
      </c>
      <c r="AM10" s="2969"/>
      <c r="AN10" s="2969"/>
      <c r="AO10" s="2969"/>
      <c r="AP10" s="2970"/>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1992</v>
      </c>
      <c r="C11" s="1765"/>
      <c r="D11" s="1765"/>
      <c r="E11" s="1765"/>
      <c r="F11" s="1765"/>
      <c r="G11" s="1765"/>
      <c r="H11" s="1765"/>
      <c r="I11" s="1765"/>
      <c r="J11" s="1765"/>
      <c r="K11" s="1765"/>
      <c r="L11" s="1765"/>
      <c r="M11" s="1763"/>
      <c r="N11" s="2974">
        <f>Application!AA925</f>
        <v>0</v>
      </c>
      <c r="O11" s="2975"/>
      <c r="P11" s="2975"/>
      <c r="Q11" s="2975"/>
      <c r="R11" s="2975"/>
      <c r="S11" s="2975"/>
      <c r="T11" s="2976"/>
      <c r="U11" s="1763"/>
      <c r="V11" s="1763"/>
      <c r="W11" s="1763"/>
      <c r="X11" s="2977" t="s">
        <v>1993</v>
      </c>
      <c r="Y11" s="2978"/>
      <c r="Z11" s="2978"/>
      <c r="AA11" s="2978"/>
      <c r="AB11" s="2978"/>
      <c r="AC11" s="2978"/>
      <c r="AD11" s="2978"/>
      <c r="AE11" s="2978"/>
      <c r="AF11" s="2978"/>
      <c r="AG11" s="2978"/>
      <c r="AH11" s="2978"/>
      <c r="AI11" s="2978"/>
      <c r="AJ11" s="2978"/>
      <c r="AK11" s="2979"/>
      <c r="AL11" s="2987">
        <v>44562</v>
      </c>
      <c r="AM11" s="2988"/>
      <c r="AN11" s="2988"/>
      <c r="AO11" s="2988"/>
      <c r="AP11" s="2989"/>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3" t="s">
        <v>1994</v>
      </c>
      <c r="Y12" s="2654"/>
      <c r="Z12" s="2654"/>
      <c r="AA12" s="2654"/>
      <c r="AB12" s="2654"/>
      <c r="AC12" s="2654"/>
      <c r="AD12" s="2654"/>
      <c r="AE12" s="2654"/>
      <c r="AF12" s="2654"/>
      <c r="AG12" s="2654"/>
      <c r="AH12" s="2654"/>
      <c r="AI12" s="2654"/>
      <c r="AJ12" s="2654"/>
      <c r="AK12" s="2655"/>
      <c r="AL12" s="2987">
        <v>44562</v>
      </c>
      <c r="AM12" s="2988"/>
      <c r="AN12" s="2988"/>
      <c r="AO12" s="2988"/>
      <c r="AP12" s="2989"/>
      <c r="AQ12" s="1766"/>
      <c r="AR12" s="1766"/>
      <c r="AS12" s="1766"/>
      <c r="AT12" s="1766"/>
      <c r="AU12" s="1766"/>
      <c r="AV12" s="1763"/>
      <c r="AW12" s="1763"/>
      <c r="AX12" s="1763"/>
      <c r="AY12" s="1763"/>
      <c r="AZ12" s="1763"/>
      <c r="BA12" s="1763"/>
      <c r="BB12" s="1763"/>
      <c r="BC12" s="1763"/>
      <c r="BD12" s="1763"/>
      <c r="BE12" s="1769"/>
    </row>
    <row r="13" spans="1:65" ht="15.1" thickBot="1">
      <c r="A13" s="1763"/>
      <c r="B13" s="2653" t="s">
        <v>1995</v>
      </c>
      <c r="C13" s="2654"/>
      <c r="D13" s="2654"/>
      <c r="E13" s="2654"/>
      <c r="F13" s="2654"/>
      <c r="G13" s="2654"/>
      <c r="H13" s="2654"/>
      <c r="I13" s="2654"/>
      <c r="J13" s="2654"/>
      <c r="K13" s="2654"/>
      <c r="L13" s="2654"/>
      <c r="M13" s="2654"/>
      <c r="N13" s="2654"/>
      <c r="O13" s="2654"/>
      <c r="P13" s="2655"/>
      <c r="Q13" s="2958" t="s">
        <v>1989</v>
      </c>
      <c r="R13" s="2959"/>
      <c r="S13" s="2959"/>
      <c r="T13" s="2960"/>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961" t="s">
        <v>1996</v>
      </c>
      <c r="C15" s="2961"/>
      <c r="D15" s="2961"/>
      <c r="E15" s="2961"/>
      <c r="F15" s="2961"/>
      <c r="G15" s="2961"/>
      <c r="H15" s="2961"/>
      <c r="I15" s="2961"/>
      <c r="J15" s="2961"/>
      <c r="K15" s="2961"/>
      <c r="L15" s="2962"/>
      <c r="M15" s="2612" t="s">
        <v>1997</v>
      </c>
      <c r="N15" s="2613"/>
      <c r="O15" s="2613"/>
      <c r="P15" s="2613"/>
      <c r="Q15" s="2613"/>
      <c r="R15" s="2613"/>
      <c r="S15" s="2963" t="str">
        <f>IF(Application!AB214="","",Application!AB214)</f>
        <v/>
      </c>
      <c r="T15" s="2963"/>
      <c r="U15" s="2963"/>
      <c r="V15" s="2963"/>
      <c r="W15" s="2964"/>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697" t="s">
        <v>1998</v>
      </c>
      <c r="C17" s="2698"/>
      <c r="D17" s="2698"/>
      <c r="E17" s="2698"/>
      <c r="F17" s="2698"/>
      <c r="G17" s="2698"/>
      <c r="H17" s="2698"/>
      <c r="I17" s="2698"/>
      <c r="J17" s="2698"/>
      <c r="K17" s="2698"/>
      <c r="L17" s="2698"/>
      <c r="M17" s="2698"/>
      <c r="N17" s="2698"/>
      <c r="O17" s="2698"/>
      <c r="P17" s="2698"/>
      <c r="Q17" s="2698"/>
      <c r="R17" s="2698"/>
      <c r="S17" s="2698"/>
      <c r="T17" s="2698"/>
      <c r="U17" s="2698"/>
      <c r="V17" s="2698"/>
      <c r="W17" s="2698"/>
      <c r="X17" s="2698"/>
      <c r="Y17" s="2698"/>
      <c r="Z17" s="2698"/>
      <c r="AA17" s="2698"/>
      <c r="AB17" s="2698"/>
      <c r="AC17" s="2698"/>
      <c r="AD17" s="2698"/>
      <c r="AE17" s="2698"/>
      <c r="AF17" s="2698"/>
      <c r="AG17" s="2698"/>
      <c r="AH17" s="2698"/>
      <c r="AI17" s="2698"/>
      <c r="AJ17" s="2698"/>
      <c r="AK17" s="2698"/>
      <c r="AL17" s="2698"/>
      <c r="AM17" s="2698"/>
      <c r="AN17" s="2698"/>
      <c r="AO17" s="2698"/>
      <c r="AP17" s="2698"/>
      <c r="AQ17" s="2698"/>
      <c r="AR17" s="2698"/>
      <c r="AS17" s="2698"/>
      <c r="AT17" s="2698"/>
      <c r="AU17" s="2698"/>
      <c r="AV17" s="2698"/>
      <c r="AW17" s="2698"/>
      <c r="AX17" s="2698"/>
      <c r="AY17" s="2699"/>
      <c r="AZ17" s="1763"/>
      <c r="BA17" s="1763"/>
      <c r="BB17" s="1763"/>
      <c r="BC17" s="1763"/>
      <c r="BD17" s="1763"/>
      <c r="BE17" s="1769"/>
      <c r="BF17" s="1761"/>
    </row>
    <row r="18" spans="1:58" ht="15.75" customHeight="1">
      <c r="A18" s="1763"/>
      <c r="B18" s="2951" t="s">
        <v>1999</v>
      </c>
      <c r="C18" s="2952"/>
      <c r="D18" s="2952"/>
      <c r="E18" s="2952"/>
      <c r="F18" s="2952"/>
      <c r="G18" s="2952"/>
      <c r="H18" s="2952"/>
      <c r="I18" s="2953"/>
      <c r="J18" s="2954" t="s">
        <v>1872</v>
      </c>
      <c r="K18" s="2955"/>
      <c r="L18" s="2955"/>
      <c r="M18" s="2955"/>
      <c r="N18" s="2955"/>
      <c r="O18" s="2956"/>
      <c r="P18" s="2954" t="s">
        <v>333</v>
      </c>
      <c r="Q18" s="2955"/>
      <c r="R18" s="2955"/>
      <c r="S18" s="2955"/>
      <c r="T18" s="2955"/>
      <c r="U18" s="2956"/>
      <c r="V18" s="2954" t="s">
        <v>334</v>
      </c>
      <c r="W18" s="2955"/>
      <c r="X18" s="2955"/>
      <c r="Y18" s="2955"/>
      <c r="Z18" s="2955"/>
      <c r="AA18" s="2956"/>
      <c r="AB18" s="2954" t="s">
        <v>168</v>
      </c>
      <c r="AC18" s="2955"/>
      <c r="AD18" s="2955"/>
      <c r="AE18" s="2955"/>
      <c r="AF18" s="2955"/>
      <c r="AG18" s="2956"/>
      <c r="AH18" s="2954" t="s">
        <v>169</v>
      </c>
      <c r="AI18" s="2955"/>
      <c r="AJ18" s="2955"/>
      <c r="AK18" s="2955"/>
      <c r="AL18" s="2955"/>
      <c r="AM18" s="2956"/>
      <c r="AN18" s="2954" t="s">
        <v>170</v>
      </c>
      <c r="AO18" s="2955"/>
      <c r="AP18" s="2955"/>
      <c r="AQ18" s="2955"/>
      <c r="AR18" s="2955"/>
      <c r="AS18" s="2956"/>
      <c r="AT18" s="2954" t="s">
        <v>2000</v>
      </c>
      <c r="AU18" s="2955"/>
      <c r="AV18" s="2955"/>
      <c r="AW18" s="2955"/>
      <c r="AX18" s="2955"/>
      <c r="AY18" s="2957"/>
      <c r="AZ18" s="1763"/>
      <c r="BA18" s="1763"/>
      <c r="BB18" s="1763"/>
      <c r="BC18" s="1763"/>
      <c r="BD18" s="1763"/>
      <c r="BE18" s="1769"/>
    </row>
    <row r="19" spans="1:58" ht="14.6">
      <c r="A19" s="1763"/>
      <c r="B19" s="2949">
        <v>0.2</v>
      </c>
      <c r="C19" s="2950"/>
      <c r="D19" s="2950"/>
      <c r="E19" s="2950"/>
      <c r="F19" s="2950"/>
      <c r="G19" s="2950"/>
      <c r="H19" s="2950"/>
      <c r="I19" s="2950"/>
      <c r="J19" s="2940">
        <f>SUM(P19:AS19)</f>
        <v>0</v>
      </c>
      <c r="K19" s="2941"/>
      <c r="L19" s="2941"/>
      <c r="M19" s="2941"/>
      <c r="N19" s="2941"/>
      <c r="O19" s="2942"/>
      <c r="P19" s="2940" cm="1">
        <f t="array" ref="P19">SUMPRODUCT((Application!$B$728:$B$752 = 'CalHFA Addendum'!P$18)*(Application!$AH$728:$AH$752 = 'CalHFA Addendum'!$B19),Application!$G$728:$G$752)</f>
        <v>0</v>
      </c>
      <c r="Q19" s="2941"/>
      <c r="R19" s="2941"/>
      <c r="S19" s="2941"/>
      <c r="T19" s="2941"/>
      <c r="U19" s="2942"/>
      <c r="V19" s="2940" cm="1">
        <f t="array" ref="V19">SUMPRODUCT((Application!$B$728:$B$752 = 'CalHFA Addendum'!V$18)*(Application!$AH$728:$AH$752 = 'CalHFA Addendum'!$B19),Application!$G$728:$G$752)</f>
        <v>0</v>
      </c>
      <c r="W19" s="2941"/>
      <c r="X19" s="2941"/>
      <c r="Y19" s="2941"/>
      <c r="Z19" s="2941"/>
      <c r="AA19" s="2942"/>
      <c r="AB19" s="2940" cm="1">
        <f t="array" ref="AB19">SUMPRODUCT((Application!$B$728:$B$752 = 'CalHFA Addendum'!AB$18)*(Application!$AH$728:$AH$752 = 'CalHFA Addendum'!$B19),Application!$G$728:$G$752)</f>
        <v>0</v>
      </c>
      <c r="AC19" s="2941"/>
      <c r="AD19" s="2941"/>
      <c r="AE19" s="2941"/>
      <c r="AF19" s="2941"/>
      <c r="AG19" s="2942"/>
      <c r="AH19" s="2940" cm="1">
        <f t="array" ref="AH19">SUMPRODUCT((Application!$B$728:$B$752 = 'CalHFA Addendum'!AH$18)*(Application!$AH$728:$AH$752 = 'CalHFA Addendum'!$B19),Application!$G$728:$G$752)</f>
        <v>0</v>
      </c>
      <c r="AI19" s="2941"/>
      <c r="AJ19" s="2941"/>
      <c r="AK19" s="2941"/>
      <c r="AL19" s="2941"/>
      <c r="AM19" s="2942"/>
      <c r="AN19" s="2940" cm="1">
        <f t="array" ref="AN19">SUMPRODUCT((Application!$B$728:$B$752 = 'CalHFA Addendum'!AN$18)*(Application!$AH$728:$AH$752 = 'CalHFA Addendum'!$B19),Application!$G$728:$G$752)</f>
        <v>0</v>
      </c>
      <c r="AO19" s="2941"/>
      <c r="AP19" s="2941"/>
      <c r="AQ19" s="2941"/>
      <c r="AR19" s="2941"/>
      <c r="AS19" s="2942"/>
      <c r="AT19" s="2943">
        <f t="shared" ref="AT19:AT28" si="0">J19/$J$29</f>
        <v>0</v>
      </c>
      <c r="AU19" s="2944"/>
      <c r="AV19" s="2944"/>
      <c r="AW19" s="2944"/>
      <c r="AX19" s="2944"/>
      <c r="AY19" s="2945"/>
      <c r="AZ19" s="1770"/>
      <c r="BA19" s="1763"/>
      <c r="BB19" s="1763"/>
      <c r="BC19" s="1763"/>
      <c r="BD19" s="1763"/>
      <c r="BE19" s="1769"/>
    </row>
    <row r="20" spans="1:58" ht="15" customHeight="1">
      <c r="A20" s="1763"/>
      <c r="B20" s="2949">
        <v>0.3</v>
      </c>
      <c r="C20" s="2950"/>
      <c r="D20" s="2950"/>
      <c r="E20" s="2950"/>
      <c r="F20" s="2950"/>
      <c r="G20" s="2950"/>
      <c r="H20" s="2950"/>
      <c r="I20" s="2950"/>
      <c r="J20" s="2940">
        <f t="shared" ref="J20:J28" si="1">SUM(P20:AS20)</f>
        <v>30</v>
      </c>
      <c r="K20" s="2941"/>
      <c r="L20" s="2941"/>
      <c r="M20" s="2941"/>
      <c r="N20" s="2941"/>
      <c r="O20" s="2942"/>
      <c r="P20" s="2940" cm="1">
        <f t="array" ref="P20">SUMPRODUCT((Application!$B$728:$B$752 = 'CalHFA Addendum'!P$18)*(Application!$AH$728:$AH$752 = 'CalHFA Addendum'!$B20),Application!$G$728:$G$752)</f>
        <v>5</v>
      </c>
      <c r="Q20" s="2941"/>
      <c r="R20" s="2941"/>
      <c r="S20" s="2941"/>
      <c r="T20" s="2941"/>
      <c r="U20" s="2942"/>
      <c r="V20" s="2940" cm="1">
        <f t="array" ref="V20">SUMPRODUCT((Application!$B$728:$B$752 = 'CalHFA Addendum'!V$18)*(Application!$AH$728:$AH$752 = 'CalHFA Addendum'!$B20),Application!$G$728:$G$752)</f>
        <v>10</v>
      </c>
      <c r="W20" s="2941"/>
      <c r="X20" s="2941"/>
      <c r="Y20" s="2941"/>
      <c r="Z20" s="2941"/>
      <c r="AA20" s="2942"/>
      <c r="AB20" s="2940" cm="1">
        <f t="array" ref="AB20">SUMPRODUCT((Application!$B$728:$B$752 = 'CalHFA Addendum'!AB$18)*(Application!$AH$728:$AH$752 = 'CalHFA Addendum'!$B20),Application!$G$728:$G$752)</f>
        <v>8</v>
      </c>
      <c r="AC20" s="2941"/>
      <c r="AD20" s="2941"/>
      <c r="AE20" s="2941"/>
      <c r="AF20" s="2941"/>
      <c r="AG20" s="2942"/>
      <c r="AH20" s="2940" cm="1">
        <f t="array" ref="AH20">SUMPRODUCT((Application!$B$728:$B$752 = 'CalHFA Addendum'!AH$18)*(Application!$AH$728:$AH$752 = 'CalHFA Addendum'!$B20),Application!$G$728:$G$752)</f>
        <v>7</v>
      </c>
      <c r="AI20" s="2941"/>
      <c r="AJ20" s="2941"/>
      <c r="AK20" s="2941"/>
      <c r="AL20" s="2941"/>
      <c r="AM20" s="2942"/>
      <c r="AN20" s="2940" cm="1">
        <f t="array" ref="AN20">SUMPRODUCT((Application!$B$728:$B$752 = 'CalHFA Addendum'!AN$18)*(Application!$AH$728:$AH$752 = 'CalHFA Addendum'!$B20),Application!$G$728:$G$752)</f>
        <v>0</v>
      </c>
      <c r="AO20" s="2941"/>
      <c r="AP20" s="2941"/>
      <c r="AQ20" s="2941"/>
      <c r="AR20" s="2941"/>
      <c r="AS20" s="2942"/>
      <c r="AT20" s="2943">
        <f t="shared" si="0"/>
        <v>0.10204081632653061</v>
      </c>
      <c r="AU20" s="2944"/>
      <c r="AV20" s="2944"/>
      <c r="AW20" s="2944"/>
      <c r="AX20" s="2944"/>
      <c r="AY20" s="2945"/>
      <c r="AZ20" s="1763"/>
      <c r="BA20" s="1763"/>
      <c r="BB20" s="1763"/>
      <c r="BC20" s="1763"/>
      <c r="BD20" s="1763"/>
      <c r="BE20" s="1769"/>
    </row>
    <row r="21" spans="1:58" ht="14.6">
      <c r="A21" s="1763"/>
      <c r="B21" s="2949">
        <v>0.4</v>
      </c>
      <c r="C21" s="2950"/>
      <c r="D21" s="2950"/>
      <c r="E21" s="2950"/>
      <c r="F21" s="2950"/>
      <c r="G21" s="2950"/>
      <c r="H21" s="2950"/>
      <c r="I21" s="2950"/>
      <c r="J21" s="2940">
        <f t="shared" si="1"/>
        <v>0</v>
      </c>
      <c r="K21" s="2941"/>
      <c r="L21" s="2941"/>
      <c r="M21" s="2941"/>
      <c r="N21" s="2941"/>
      <c r="O21" s="2942"/>
      <c r="P21" s="2940" cm="1">
        <f t="array" ref="P21">SUMPRODUCT((Application!$B$728:$B$752 = 'CalHFA Addendum'!P$18)*(Application!$AH$728:$AH$752 = 'CalHFA Addendum'!$B21),Application!$G$728:$G$752)</f>
        <v>0</v>
      </c>
      <c r="Q21" s="2941"/>
      <c r="R21" s="2941"/>
      <c r="S21" s="2941"/>
      <c r="T21" s="2941"/>
      <c r="U21" s="2942"/>
      <c r="V21" s="2940" cm="1">
        <f t="array" ref="V21">SUMPRODUCT((Application!$B$728:$B$752 = 'CalHFA Addendum'!V$18)*(Application!$AH$728:$AH$752 = 'CalHFA Addendum'!$B21),Application!$G$728:$G$752)</f>
        <v>0</v>
      </c>
      <c r="W21" s="2941"/>
      <c r="X21" s="2941"/>
      <c r="Y21" s="2941"/>
      <c r="Z21" s="2941"/>
      <c r="AA21" s="2942"/>
      <c r="AB21" s="2940" cm="1">
        <f t="array" ref="AB21">SUMPRODUCT((Application!$B$728:$B$752 = 'CalHFA Addendum'!AB$18)*(Application!$AH$728:$AH$752 = 'CalHFA Addendum'!$B21),Application!$G$728:$G$752)</f>
        <v>0</v>
      </c>
      <c r="AC21" s="2941"/>
      <c r="AD21" s="2941"/>
      <c r="AE21" s="2941"/>
      <c r="AF21" s="2941"/>
      <c r="AG21" s="2942"/>
      <c r="AH21" s="2940" cm="1">
        <f t="array" ref="AH21">SUMPRODUCT((Application!$B$728:$B$752 = 'CalHFA Addendum'!AH$18)*(Application!$AH$728:$AH$752 = 'CalHFA Addendum'!$B21),Application!$G$728:$G$752)</f>
        <v>0</v>
      </c>
      <c r="AI21" s="2941"/>
      <c r="AJ21" s="2941"/>
      <c r="AK21" s="2941"/>
      <c r="AL21" s="2941"/>
      <c r="AM21" s="2942"/>
      <c r="AN21" s="2940" cm="1">
        <f t="array" ref="AN21">SUMPRODUCT((Application!$B$728:$B$752 = 'CalHFA Addendum'!AN$18)*(Application!$AH$728:$AH$752 = 'CalHFA Addendum'!$B21),Application!$G$728:$G$752)</f>
        <v>0</v>
      </c>
      <c r="AO21" s="2941"/>
      <c r="AP21" s="2941"/>
      <c r="AQ21" s="2941"/>
      <c r="AR21" s="2941"/>
      <c r="AS21" s="2942"/>
      <c r="AT21" s="2943">
        <f t="shared" si="0"/>
        <v>0</v>
      </c>
      <c r="AU21" s="2944"/>
      <c r="AV21" s="2944"/>
      <c r="AW21" s="2944"/>
      <c r="AX21" s="2944"/>
      <c r="AY21" s="2945"/>
      <c r="AZ21" s="1763"/>
      <c r="BA21" s="1763"/>
      <c r="BB21" s="1763"/>
      <c r="BC21" s="1763"/>
      <c r="BD21" s="1763"/>
      <c r="BE21" s="1769"/>
    </row>
    <row r="22" spans="1:58" ht="14.6">
      <c r="A22" s="1763"/>
      <c r="B22" s="2949">
        <v>0.5</v>
      </c>
      <c r="C22" s="2950"/>
      <c r="D22" s="2950"/>
      <c r="E22" s="2950"/>
      <c r="F22" s="2950"/>
      <c r="G22" s="2950"/>
      <c r="H22" s="2950"/>
      <c r="I22" s="2950"/>
      <c r="J22" s="2940">
        <f t="shared" si="1"/>
        <v>30</v>
      </c>
      <c r="K22" s="2941"/>
      <c r="L22" s="2941"/>
      <c r="M22" s="2941"/>
      <c r="N22" s="2941"/>
      <c r="O22" s="2942"/>
      <c r="P22" s="2940" cm="1">
        <f t="array" ref="P22">SUMPRODUCT((Application!$B$728:$B$752 = 'CalHFA Addendum'!P$18)*(Application!$AH$728:$AH$752 = 'CalHFA Addendum'!$B22),Application!$G$728:$G$752)</f>
        <v>5</v>
      </c>
      <c r="Q22" s="2941"/>
      <c r="R22" s="2941"/>
      <c r="S22" s="2941"/>
      <c r="T22" s="2941"/>
      <c r="U22" s="2942"/>
      <c r="V22" s="2940" cm="1">
        <f t="array" ref="V22">SUMPRODUCT((Application!$B$728:$B$752 = 'CalHFA Addendum'!V$18)*(Application!$AH$728:$AH$752 = 'CalHFA Addendum'!$B22),Application!$G$728:$G$752)</f>
        <v>10</v>
      </c>
      <c r="W22" s="2941"/>
      <c r="X22" s="2941"/>
      <c r="Y22" s="2941"/>
      <c r="Z22" s="2941"/>
      <c r="AA22" s="2942"/>
      <c r="AB22" s="2940" cm="1">
        <f t="array" ref="AB22">SUMPRODUCT((Application!$B$728:$B$752 = 'CalHFA Addendum'!AB$18)*(Application!$AH$728:$AH$752 = 'CalHFA Addendum'!$B22),Application!$G$728:$G$752)</f>
        <v>8</v>
      </c>
      <c r="AC22" s="2941"/>
      <c r="AD22" s="2941"/>
      <c r="AE22" s="2941"/>
      <c r="AF22" s="2941"/>
      <c r="AG22" s="2942"/>
      <c r="AH22" s="2940" cm="1">
        <f t="array" ref="AH22">SUMPRODUCT((Application!$B$728:$B$752 = 'CalHFA Addendum'!AH$18)*(Application!$AH$728:$AH$752 = 'CalHFA Addendum'!$B22),Application!$G$728:$G$752)</f>
        <v>7</v>
      </c>
      <c r="AI22" s="2941"/>
      <c r="AJ22" s="2941"/>
      <c r="AK22" s="2941"/>
      <c r="AL22" s="2941"/>
      <c r="AM22" s="2942"/>
      <c r="AN22" s="2940" cm="1">
        <f t="array" ref="AN22">SUMPRODUCT((Application!$B$728:$B$752 = 'CalHFA Addendum'!AN$18)*(Application!$AH$728:$AH$752 = 'CalHFA Addendum'!$B22),Application!$G$728:$G$752)</f>
        <v>0</v>
      </c>
      <c r="AO22" s="2941"/>
      <c r="AP22" s="2941"/>
      <c r="AQ22" s="2941"/>
      <c r="AR22" s="2941"/>
      <c r="AS22" s="2942"/>
      <c r="AT22" s="2943">
        <f t="shared" si="0"/>
        <v>0.10204081632653061</v>
      </c>
      <c r="AU22" s="2944"/>
      <c r="AV22" s="2944"/>
      <c r="AW22" s="2944"/>
      <c r="AX22" s="2944"/>
      <c r="AY22" s="2945"/>
      <c r="AZ22" s="1763"/>
      <c r="BA22" s="1763"/>
      <c r="BB22" s="1763"/>
      <c r="BC22" s="1763"/>
      <c r="BD22" s="1763"/>
      <c r="BE22" s="1769"/>
    </row>
    <row r="23" spans="1:58" ht="14.6">
      <c r="A23" s="1763"/>
      <c r="B23" s="2949">
        <v>0.6</v>
      </c>
      <c r="C23" s="2950"/>
      <c r="D23" s="2950"/>
      <c r="E23" s="2950"/>
      <c r="F23" s="2950"/>
      <c r="G23" s="2950"/>
      <c r="H23" s="2950"/>
      <c r="I23" s="2950"/>
      <c r="J23" s="2940">
        <f t="shared" si="1"/>
        <v>173</v>
      </c>
      <c r="K23" s="2941"/>
      <c r="L23" s="2941"/>
      <c r="M23" s="2941"/>
      <c r="N23" s="2941"/>
      <c r="O23" s="2942"/>
      <c r="P23" s="2940" cm="1">
        <f t="array" ref="P23">SUMPRODUCT((Application!$B$728:$B$752 = 'CalHFA Addendum'!P$18)*(Application!$AH$728:$AH$752 = 'CalHFA Addendum'!$B23),Application!$G$728:$G$752)</f>
        <v>30</v>
      </c>
      <c r="Q23" s="2941"/>
      <c r="R23" s="2941"/>
      <c r="S23" s="2941"/>
      <c r="T23" s="2941"/>
      <c r="U23" s="2942"/>
      <c r="V23" s="2940" cm="1">
        <f t="array" ref="V23">SUMPRODUCT((Application!$B$728:$B$752 = 'CalHFA Addendum'!V$18)*(Application!$AH$728:$AH$752 = 'CalHFA Addendum'!$B23),Application!$G$728:$G$752)</f>
        <v>55</v>
      </c>
      <c r="W23" s="2941"/>
      <c r="X23" s="2941"/>
      <c r="Y23" s="2941"/>
      <c r="Z23" s="2941"/>
      <c r="AA23" s="2942"/>
      <c r="AB23" s="2940" cm="1">
        <f t="array" ref="AB23">SUMPRODUCT((Application!$B$728:$B$752 = 'CalHFA Addendum'!AB$18)*(Application!$AH$728:$AH$752 = 'CalHFA Addendum'!$B23),Application!$G$728:$G$752)</f>
        <v>44</v>
      </c>
      <c r="AC23" s="2941"/>
      <c r="AD23" s="2941"/>
      <c r="AE23" s="2941"/>
      <c r="AF23" s="2941"/>
      <c r="AG23" s="2942"/>
      <c r="AH23" s="2940" cm="1">
        <f t="array" ref="AH23">SUMPRODUCT((Application!$B$728:$B$752 = 'CalHFA Addendum'!AH$18)*(Application!$AH$728:$AH$752 = 'CalHFA Addendum'!$B23),Application!$G$728:$G$752)</f>
        <v>44</v>
      </c>
      <c r="AI23" s="2941"/>
      <c r="AJ23" s="2941"/>
      <c r="AK23" s="2941"/>
      <c r="AL23" s="2941"/>
      <c r="AM23" s="2942"/>
      <c r="AN23" s="2940" cm="1">
        <f t="array" ref="AN23">SUMPRODUCT((Application!$B$728:$B$752 = 'CalHFA Addendum'!AN$18)*(Application!$AH$728:$AH$752 = 'CalHFA Addendum'!$B23),Application!$G$728:$G$752)</f>
        <v>0</v>
      </c>
      <c r="AO23" s="2941"/>
      <c r="AP23" s="2941"/>
      <c r="AQ23" s="2941"/>
      <c r="AR23" s="2941"/>
      <c r="AS23" s="2942"/>
      <c r="AT23" s="2943">
        <f t="shared" si="0"/>
        <v>0.58843537414965985</v>
      </c>
      <c r="AU23" s="2944"/>
      <c r="AV23" s="2944"/>
      <c r="AW23" s="2944"/>
      <c r="AX23" s="2944"/>
      <c r="AY23" s="2945"/>
      <c r="AZ23" s="1763"/>
      <c r="BA23" s="1763"/>
      <c r="BB23" s="1763"/>
      <c r="BC23" s="1763"/>
      <c r="BD23" s="1763"/>
      <c r="BE23" s="1769"/>
    </row>
    <row r="24" spans="1:58" ht="14.6">
      <c r="A24" s="1763"/>
      <c r="B24" s="2949">
        <v>0.7</v>
      </c>
      <c r="C24" s="2950"/>
      <c r="D24" s="2950"/>
      <c r="E24" s="2950"/>
      <c r="F24" s="2950"/>
      <c r="G24" s="2950"/>
      <c r="H24" s="2950"/>
      <c r="I24" s="2950"/>
      <c r="J24" s="2940">
        <f t="shared" si="1"/>
        <v>0</v>
      </c>
      <c r="K24" s="2941"/>
      <c r="L24" s="2941"/>
      <c r="M24" s="2941"/>
      <c r="N24" s="2941"/>
      <c r="O24" s="2942"/>
      <c r="P24" s="2940" cm="1">
        <f t="array" ref="P24">SUMPRODUCT((Application!$B$728:$B$752 = 'CalHFA Addendum'!P$18)*(Application!$AH$728:$AH$752 = 'CalHFA Addendum'!$B24),Application!$G$728:$G$752)</f>
        <v>0</v>
      </c>
      <c r="Q24" s="2941"/>
      <c r="R24" s="2941"/>
      <c r="S24" s="2941"/>
      <c r="T24" s="2941"/>
      <c r="U24" s="2942"/>
      <c r="V24" s="2940" cm="1">
        <f t="array" ref="V24">SUMPRODUCT((Application!$B$728:$B$752 = 'CalHFA Addendum'!V$18)*(Application!$AH$728:$AH$752 = 'CalHFA Addendum'!$B24),Application!$G$728:$G$752)</f>
        <v>0</v>
      </c>
      <c r="W24" s="2941"/>
      <c r="X24" s="2941"/>
      <c r="Y24" s="2941"/>
      <c r="Z24" s="2941"/>
      <c r="AA24" s="2942"/>
      <c r="AB24" s="2940" cm="1">
        <f t="array" ref="AB24">SUMPRODUCT((Application!$B$728:$B$752 = 'CalHFA Addendum'!AB$18)*(Application!$AH$728:$AH$752 = 'CalHFA Addendum'!$B24),Application!$G$728:$G$752)</f>
        <v>0</v>
      </c>
      <c r="AC24" s="2941"/>
      <c r="AD24" s="2941"/>
      <c r="AE24" s="2941"/>
      <c r="AF24" s="2941"/>
      <c r="AG24" s="2942"/>
      <c r="AH24" s="2940" cm="1">
        <f t="array" ref="AH24">SUMPRODUCT((Application!$B$728:$B$752 = 'CalHFA Addendum'!AH$18)*(Application!$AH$728:$AH$752 = 'CalHFA Addendum'!$B24),Application!$G$728:$G$752)</f>
        <v>0</v>
      </c>
      <c r="AI24" s="2941"/>
      <c r="AJ24" s="2941"/>
      <c r="AK24" s="2941"/>
      <c r="AL24" s="2941"/>
      <c r="AM24" s="2942"/>
      <c r="AN24" s="2940" cm="1">
        <f t="array" ref="AN24">SUMPRODUCT((Application!$B$728:$B$752 = 'CalHFA Addendum'!AN$18)*(Application!$AH$728:$AH$752 = 'CalHFA Addendum'!$B24),Application!$G$728:$G$752)</f>
        <v>0</v>
      </c>
      <c r="AO24" s="2941"/>
      <c r="AP24" s="2941"/>
      <c r="AQ24" s="2941"/>
      <c r="AR24" s="2941"/>
      <c r="AS24" s="2942"/>
      <c r="AT24" s="2943">
        <f t="shared" si="0"/>
        <v>0</v>
      </c>
      <c r="AU24" s="2944"/>
      <c r="AV24" s="2944"/>
      <c r="AW24" s="2944"/>
      <c r="AX24" s="2944"/>
      <c r="AY24" s="2945"/>
      <c r="AZ24" s="1763"/>
      <c r="BA24" s="1763"/>
      <c r="BB24" s="1763"/>
      <c r="BC24" s="1763"/>
      <c r="BD24" s="1763"/>
      <c r="BE24" s="1769"/>
    </row>
    <row r="25" spans="1:58" ht="14.6">
      <c r="A25" s="1763"/>
      <c r="B25" s="2949">
        <v>0.8</v>
      </c>
      <c r="C25" s="2950"/>
      <c r="D25" s="2950"/>
      <c r="E25" s="2950"/>
      <c r="F25" s="2950"/>
      <c r="G25" s="2950"/>
      <c r="H25" s="2950"/>
      <c r="I25" s="2950"/>
      <c r="J25" s="2940">
        <f t="shared" si="1"/>
        <v>58</v>
      </c>
      <c r="K25" s="2941"/>
      <c r="L25" s="2941"/>
      <c r="M25" s="2941"/>
      <c r="N25" s="2941"/>
      <c r="O25" s="2942"/>
      <c r="P25" s="2940" cm="1">
        <f t="array" ref="P25">SUMPRODUCT((Application!$B$728:$B$752 = 'CalHFA Addendum'!P$18)*(Application!$AH$728:$AH$752 = 'CalHFA Addendum'!$B25),Application!$G$728:$G$752)</f>
        <v>10</v>
      </c>
      <c r="Q25" s="2941"/>
      <c r="R25" s="2941"/>
      <c r="S25" s="2941"/>
      <c r="T25" s="2941"/>
      <c r="U25" s="2942"/>
      <c r="V25" s="2940" cm="1">
        <f t="array" ref="V25">SUMPRODUCT((Application!$B$728:$B$752 = 'CalHFA Addendum'!V$18)*(Application!$AH$728:$AH$752 = 'CalHFA Addendum'!$B25),Application!$G$728:$G$752)</f>
        <v>18</v>
      </c>
      <c r="W25" s="2941"/>
      <c r="X25" s="2941"/>
      <c r="Y25" s="2941"/>
      <c r="Z25" s="2941"/>
      <c r="AA25" s="2942"/>
      <c r="AB25" s="2940" cm="1">
        <f t="array" ref="AB25">SUMPRODUCT((Application!$B$728:$B$752 = 'CalHFA Addendum'!AB$18)*(Application!$AH$728:$AH$752 = 'CalHFA Addendum'!$B25),Application!$G$728:$G$752)</f>
        <v>13</v>
      </c>
      <c r="AC25" s="2941"/>
      <c r="AD25" s="2941"/>
      <c r="AE25" s="2941"/>
      <c r="AF25" s="2941"/>
      <c r="AG25" s="2942"/>
      <c r="AH25" s="2940" cm="1">
        <f t="array" ref="AH25">SUMPRODUCT((Application!$B$728:$B$752 = 'CalHFA Addendum'!AH$18)*(Application!$AH$728:$AH$752 = 'CalHFA Addendum'!$B25),Application!$G$728:$G$752)</f>
        <v>17</v>
      </c>
      <c r="AI25" s="2941"/>
      <c r="AJ25" s="2941"/>
      <c r="AK25" s="2941"/>
      <c r="AL25" s="2941"/>
      <c r="AM25" s="2942"/>
      <c r="AN25" s="2940" cm="1">
        <f t="array" ref="AN25">SUMPRODUCT((Application!$B$728:$B$752 = 'CalHFA Addendum'!AN$18)*(Application!$AH$728:$AH$752 = 'CalHFA Addendum'!$B25),Application!$G$728:$G$752)</f>
        <v>0</v>
      </c>
      <c r="AO25" s="2941"/>
      <c r="AP25" s="2941"/>
      <c r="AQ25" s="2941"/>
      <c r="AR25" s="2941"/>
      <c r="AS25" s="2942"/>
      <c r="AT25" s="2943">
        <f t="shared" si="0"/>
        <v>0.19727891156462585</v>
      </c>
      <c r="AU25" s="2944"/>
      <c r="AV25" s="2944"/>
      <c r="AW25" s="2944"/>
      <c r="AX25" s="2944"/>
      <c r="AY25" s="2945"/>
      <c r="AZ25" s="1763"/>
      <c r="BA25" s="1763"/>
      <c r="BB25" s="1763"/>
      <c r="BC25" s="1763"/>
      <c r="BD25" s="1763"/>
      <c r="BE25" s="1769"/>
    </row>
    <row r="26" spans="1:58" ht="14.6">
      <c r="A26" s="1763"/>
      <c r="B26" s="2949">
        <v>0.9</v>
      </c>
      <c r="C26" s="2950"/>
      <c r="D26" s="2950"/>
      <c r="E26" s="2950"/>
      <c r="F26" s="2950"/>
      <c r="G26" s="2950"/>
      <c r="H26" s="2950"/>
      <c r="I26" s="2950"/>
      <c r="J26" s="2940">
        <f t="shared" si="1"/>
        <v>0</v>
      </c>
      <c r="K26" s="2941"/>
      <c r="L26" s="2941"/>
      <c r="M26" s="2941"/>
      <c r="N26" s="2941"/>
      <c r="O26" s="2942"/>
      <c r="P26" s="2940" cm="1">
        <f t="array" ref="P26">SUMPRODUCT((Application!$B$728:$B$752 = 'CalHFA Addendum'!P$18)*(Application!$AH$728:$AH$752 = 'CalHFA Addendum'!$B26),Application!$G$728:$G$752)</f>
        <v>0</v>
      </c>
      <c r="Q26" s="2941"/>
      <c r="R26" s="2941"/>
      <c r="S26" s="2941"/>
      <c r="T26" s="2941"/>
      <c r="U26" s="2942"/>
      <c r="V26" s="2940" cm="1">
        <f t="array" ref="V26">SUMPRODUCT((Application!$B$728:$B$752 = 'CalHFA Addendum'!V$18)*(Application!$AH$728:$AH$752 = 'CalHFA Addendum'!$B26),Application!$G$728:$G$752)</f>
        <v>0</v>
      </c>
      <c r="W26" s="2941"/>
      <c r="X26" s="2941"/>
      <c r="Y26" s="2941"/>
      <c r="Z26" s="2941"/>
      <c r="AA26" s="2942"/>
      <c r="AB26" s="2940" cm="1">
        <f t="array" ref="AB26">SUMPRODUCT((Application!$B$728:$B$752 = 'CalHFA Addendum'!AB$18)*(Application!$AH$728:$AH$752 = 'CalHFA Addendum'!$B26),Application!$G$728:$G$752)</f>
        <v>0</v>
      </c>
      <c r="AC26" s="2941"/>
      <c r="AD26" s="2941"/>
      <c r="AE26" s="2941"/>
      <c r="AF26" s="2941"/>
      <c r="AG26" s="2942"/>
      <c r="AH26" s="2940" cm="1">
        <f t="array" ref="AH26">SUMPRODUCT((Application!$B$728:$B$752 = 'CalHFA Addendum'!AH$18)*(Application!$AH$728:$AH$752 = 'CalHFA Addendum'!$B26),Application!$G$728:$G$752)</f>
        <v>0</v>
      </c>
      <c r="AI26" s="2941"/>
      <c r="AJ26" s="2941"/>
      <c r="AK26" s="2941"/>
      <c r="AL26" s="2941"/>
      <c r="AM26" s="2942"/>
      <c r="AN26" s="2940" cm="1">
        <f t="array" ref="AN26">SUMPRODUCT((Application!$B$728:$B$752 = 'CalHFA Addendum'!AN$18)*(Application!$AH$728:$AH$752 = 'CalHFA Addendum'!$B26),Application!$G$728:$G$752)</f>
        <v>0</v>
      </c>
      <c r="AO26" s="2941"/>
      <c r="AP26" s="2941"/>
      <c r="AQ26" s="2941"/>
      <c r="AR26" s="2941"/>
      <c r="AS26" s="2942"/>
      <c r="AT26" s="2943">
        <f t="shared" si="0"/>
        <v>0</v>
      </c>
      <c r="AU26" s="2944"/>
      <c r="AV26" s="2944"/>
      <c r="AW26" s="2944"/>
      <c r="AX26" s="2944"/>
      <c r="AY26" s="2945"/>
      <c r="AZ26" s="1763"/>
      <c r="BA26" s="1763"/>
      <c r="BB26" s="1763"/>
      <c r="BC26" s="1763"/>
      <c r="BD26" s="1763"/>
      <c r="BE26" s="1769"/>
    </row>
    <row r="27" spans="1:58" ht="14.6">
      <c r="A27" s="1763"/>
      <c r="B27" s="2949">
        <v>1</v>
      </c>
      <c r="C27" s="2950"/>
      <c r="D27" s="2950"/>
      <c r="E27" s="2950"/>
      <c r="F27" s="2950"/>
      <c r="G27" s="2950"/>
      <c r="H27" s="2950"/>
      <c r="I27" s="2950"/>
      <c r="J27" s="2940">
        <f t="shared" si="1"/>
        <v>0</v>
      </c>
      <c r="K27" s="2941"/>
      <c r="L27" s="2941"/>
      <c r="M27" s="2941"/>
      <c r="N27" s="2941"/>
      <c r="O27" s="2942"/>
      <c r="P27" s="2940" cm="1">
        <f t="array" ref="P27">SUMPRODUCT((Application!$B$728:$B$752 = 'CalHFA Addendum'!P$18)*(Application!$AH$728:$AH$752 = 'CalHFA Addendum'!$B27),Application!$G$728:$G$752)</f>
        <v>0</v>
      </c>
      <c r="Q27" s="2941"/>
      <c r="R27" s="2941"/>
      <c r="S27" s="2941"/>
      <c r="T27" s="2941"/>
      <c r="U27" s="2942"/>
      <c r="V27" s="2940" cm="1">
        <f t="array" ref="V27">SUMPRODUCT((Application!$B$728:$B$752 = 'CalHFA Addendum'!V$18)*(Application!$AH$728:$AH$752 = 'CalHFA Addendum'!$B27),Application!$G$728:$G$752)</f>
        <v>0</v>
      </c>
      <c r="W27" s="2941"/>
      <c r="X27" s="2941"/>
      <c r="Y27" s="2941"/>
      <c r="Z27" s="2941"/>
      <c r="AA27" s="2942"/>
      <c r="AB27" s="2940" cm="1">
        <f t="array" ref="AB27">SUMPRODUCT((Application!$B$728:$B$752 = 'CalHFA Addendum'!AB$18)*(Application!$AH$728:$AH$752 = 'CalHFA Addendum'!$B27),Application!$G$728:$G$752)</f>
        <v>0</v>
      </c>
      <c r="AC27" s="2941"/>
      <c r="AD27" s="2941"/>
      <c r="AE27" s="2941"/>
      <c r="AF27" s="2941"/>
      <c r="AG27" s="2942"/>
      <c r="AH27" s="2940" cm="1">
        <f t="array" ref="AH27">SUMPRODUCT((Application!$B$728:$B$752 = 'CalHFA Addendum'!AH$18)*(Application!$AH$728:$AH$752 = 'CalHFA Addendum'!$B27),Application!$G$728:$G$752)</f>
        <v>0</v>
      </c>
      <c r="AI27" s="2941"/>
      <c r="AJ27" s="2941"/>
      <c r="AK27" s="2941"/>
      <c r="AL27" s="2941"/>
      <c r="AM27" s="2942"/>
      <c r="AN27" s="2940" cm="1">
        <f t="array" ref="AN27">SUMPRODUCT((Application!$B$728:$B$752 = 'CalHFA Addendum'!AN$18)*(Application!$AH$728:$AH$752 = 'CalHFA Addendum'!$B27),Application!$G$728:$G$752)</f>
        <v>0</v>
      </c>
      <c r="AO27" s="2941"/>
      <c r="AP27" s="2941"/>
      <c r="AQ27" s="2941"/>
      <c r="AR27" s="2941"/>
      <c r="AS27" s="2942"/>
      <c r="AT27" s="2943">
        <f t="shared" si="0"/>
        <v>0</v>
      </c>
      <c r="AU27" s="2944"/>
      <c r="AV27" s="2944"/>
      <c r="AW27" s="2944"/>
      <c r="AX27" s="2944"/>
      <c r="AY27" s="2945"/>
      <c r="AZ27" s="1763"/>
      <c r="BA27" s="1763"/>
      <c r="BB27" s="1763"/>
      <c r="BC27" s="1763"/>
      <c r="BD27" s="1763"/>
      <c r="BE27" s="1769"/>
    </row>
    <row r="28" spans="1:58" ht="15.1" thickBot="1">
      <c r="A28" s="1763"/>
      <c r="B28" s="2946" t="s">
        <v>2001</v>
      </c>
      <c r="C28" s="2947"/>
      <c r="D28" s="2947"/>
      <c r="E28" s="2947"/>
      <c r="F28" s="2947"/>
      <c r="G28" s="2947"/>
      <c r="H28" s="2947"/>
      <c r="I28" s="2948"/>
      <c r="J28" s="2940">
        <f t="shared" si="1"/>
        <v>3</v>
      </c>
      <c r="K28" s="2941"/>
      <c r="L28" s="2941"/>
      <c r="M28" s="2941"/>
      <c r="N28" s="2941"/>
      <c r="O28" s="2942"/>
      <c r="P28" s="2940">
        <f>_xlfn.IFNA(VLOOKUP(P$18,Application!$J$772:$S$775,6,FALSE), 0)</f>
        <v>0</v>
      </c>
      <c r="Q28" s="2941"/>
      <c r="R28" s="2941"/>
      <c r="S28" s="2941"/>
      <c r="T28" s="2941"/>
      <c r="U28" s="2942"/>
      <c r="V28" s="2940">
        <f>_xlfn.IFNA(VLOOKUP(V$18,Application!$J$772:$S$775,6,FALSE), 0)</f>
        <v>0</v>
      </c>
      <c r="W28" s="2941"/>
      <c r="X28" s="2941"/>
      <c r="Y28" s="2941"/>
      <c r="Z28" s="2941"/>
      <c r="AA28" s="2942"/>
      <c r="AB28" s="2940">
        <f>_xlfn.IFNA(VLOOKUP(AB$18,Application!$J$772:$S$775,6,FALSE), 0)</f>
        <v>3</v>
      </c>
      <c r="AC28" s="2941"/>
      <c r="AD28" s="2941"/>
      <c r="AE28" s="2941"/>
      <c r="AF28" s="2941"/>
      <c r="AG28" s="2942"/>
      <c r="AH28" s="2940">
        <f>_xlfn.IFNA(VLOOKUP(AH$18,Application!$J$772:$S$775,6,FALSE), 0)</f>
        <v>0</v>
      </c>
      <c r="AI28" s="2941"/>
      <c r="AJ28" s="2941"/>
      <c r="AK28" s="2941"/>
      <c r="AL28" s="2941"/>
      <c r="AM28" s="2942"/>
      <c r="AN28" s="2940">
        <f>_xlfn.IFNA(VLOOKUP(AN$18,Application!$J$772:$S$775,6,FALSE), 0)</f>
        <v>0</v>
      </c>
      <c r="AO28" s="2941"/>
      <c r="AP28" s="2941"/>
      <c r="AQ28" s="2941"/>
      <c r="AR28" s="2941"/>
      <c r="AS28" s="2942"/>
      <c r="AT28" s="2943">
        <f t="shared" si="0"/>
        <v>1.020408163265306E-2</v>
      </c>
      <c r="AU28" s="2944"/>
      <c r="AV28" s="2944"/>
      <c r="AW28" s="2944"/>
      <c r="AX28" s="2944"/>
      <c r="AY28" s="2945"/>
      <c r="AZ28" s="1763"/>
      <c r="BA28" s="1763"/>
      <c r="BB28" s="1763"/>
      <c r="BC28" s="1763"/>
      <c r="BD28" s="1763"/>
      <c r="BE28" s="1769"/>
    </row>
    <row r="29" spans="1:58" ht="15.1" thickBot="1">
      <c r="A29" s="1763"/>
      <c r="B29" s="2939" t="s">
        <v>1872</v>
      </c>
      <c r="C29" s="2915"/>
      <c r="D29" s="2915"/>
      <c r="E29" s="2915"/>
      <c r="F29" s="2915"/>
      <c r="G29" s="2915"/>
      <c r="H29" s="2915"/>
      <c r="I29" s="2916"/>
      <c r="J29" s="2914">
        <f>SUM(J19:O28)</f>
        <v>294</v>
      </c>
      <c r="K29" s="2915"/>
      <c r="L29" s="2915"/>
      <c r="M29" s="2915"/>
      <c r="N29" s="2915"/>
      <c r="O29" s="2916"/>
      <c r="P29" s="2914">
        <f>SUM(P19:U28)</f>
        <v>50</v>
      </c>
      <c r="Q29" s="2915"/>
      <c r="R29" s="2915"/>
      <c r="S29" s="2915"/>
      <c r="T29" s="2915"/>
      <c r="U29" s="2916"/>
      <c r="V29" s="2914">
        <f>SUM(V19:AA28)</f>
        <v>93</v>
      </c>
      <c r="W29" s="2915"/>
      <c r="X29" s="2915"/>
      <c r="Y29" s="2915"/>
      <c r="Z29" s="2915"/>
      <c r="AA29" s="2916"/>
      <c r="AB29" s="2914">
        <f>SUM(AB19:AG28)</f>
        <v>76</v>
      </c>
      <c r="AC29" s="2915"/>
      <c r="AD29" s="2915"/>
      <c r="AE29" s="2915"/>
      <c r="AF29" s="2915"/>
      <c r="AG29" s="2916"/>
      <c r="AH29" s="2914">
        <f>SUM(AH19:AM28)</f>
        <v>75</v>
      </c>
      <c r="AI29" s="2915"/>
      <c r="AJ29" s="2915"/>
      <c r="AK29" s="2915"/>
      <c r="AL29" s="2915"/>
      <c r="AM29" s="2916"/>
      <c r="AN29" s="2914">
        <f>SUM(AN19:AS28)</f>
        <v>0</v>
      </c>
      <c r="AO29" s="2915"/>
      <c r="AP29" s="2915"/>
      <c r="AQ29" s="2915"/>
      <c r="AR29" s="2915"/>
      <c r="AS29" s="2916"/>
      <c r="AT29" s="2917">
        <f>J29/$J$29</f>
        <v>1</v>
      </c>
      <c r="AU29" s="2918"/>
      <c r="AV29" s="2918"/>
      <c r="AW29" s="2918"/>
      <c r="AX29" s="2918"/>
      <c r="AY29" s="2919"/>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920" t="s">
        <v>2002</v>
      </c>
      <c r="C31" s="2921"/>
      <c r="D31" s="2921"/>
      <c r="E31" s="2921"/>
      <c r="F31" s="2921"/>
      <c r="G31" s="2921"/>
      <c r="H31" s="2921"/>
      <c r="I31" s="2921"/>
      <c r="J31" s="2921"/>
      <c r="K31" s="2921"/>
      <c r="L31" s="2921"/>
      <c r="M31" s="2921"/>
      <c r="N31" s="2921"/>
      <c r="O31" s="2921"/>
      <c r="P31" s="2921"/>
      <c r="Q31" s="2921"/>
      <c r="R31" s="2921"/>
      <c r="S31" s="2921"/>
      <c r="T31" s="2921"/>
      <c r="U31" s="2921"/>
      <c r="V31" s="2921"/>
      <c r="W31" s="2921"/>
      <c r="X31" s="2921"/>
      <c r="Y31" s="2921"/>
      <c r="Z31" s="2921"/>
      <c r="AA31" s="2921"/>
      <c r="AB31" s="2921"/>
      <c r="AC31" s="2921"/>
      <c r="AD31" s="2921"/>
      <c r="AE31" s="2921"/>
      <c r="AF31" s="2921"/>
      <c r="AG31" s="2921"/>
      <c r="AH31" s="2921"/>
      <c r="AI31" s="2921"/>
      <c r="AJ31" s="2921"/>
      <c r="AK31" s="2921"/>
      <c r="AL31" s="2921"/>
      <c r="AM31" s="2921"/>
      <c r="AN31" s="2921"/>
      <c r="AO31" s="2921"/>
      <c r="AP31" s="2921"/>
      <c r="AQ31" s="2921"/>
      <c r="AR31" s="2921"/>
      <c r="AS31" s="2921"/>
      <c r="AT31" s="2921"/>
      <c r="AU31" s="2921"/>
      <c r="AV31" s="2921"/>
      <c r="AW31" s="2921"/>
      <c r="AX31" s="2921"/>
      <c r="AY31" s="2921"/>
      <c r="AZ31" s="2922"/>
      <c r="BA31" s="1763"/>
      <c r="BB31" s="1763"/>
      <c r="BC31" s="1763"/>
      <c r="BD31" s="1763"/>
      <c r="BE31" s="1769"/>
    </row>
    <row r="32" spans="1:58" ht="15.1" thickBot="1">
      <c r="A32" s="1763"/>
      <c r="B32" s="2923" t="s">
        <v>2003</v>
      </c>
      <c r="C32" s="2924"/>
      <c r="D32" s="2924"/>
      <c r="E32" s="2924"/>
      <c r="F32" s="2924"/>
      <c r="G32" s="2924"/>
      <c r="H32" s="2924"/>
      <c r="I32" s="2925"/>
      <c r="J32" s="2927" t="s">
        <v>2004</v>
      </c>
      <c r="K32" s="2928"/>
      <c r="L32" s="2928"/>
      <c r="M32" s="2929"/>
      <c r="N32" s="2927" t="s">
        <v>2005</v>
      </c>
      <c r="O32" s="2928"/>
      <c r="P32" s="2928"/>
      <c r="Q32" s="2928"/>
      <c r="R32" s="2931" t="s">
        <v>2006</v>
      </c>
      <c r="S32" s="2932"/>
      <c r="T32" s="2932"/>
      <c r="U32" s="2932"/>
      <c r="V32" s="2932"/>
      <c r="W32" s="2932"/>
      <c r="X32" s="2932"/>
      <c r="Y32" s="2932"/>
      <c r="Z32" s="2932"/>
      <c r="AA32" s="2932"/>
      <c r="AB32" s="2932"/>
      <c r="AC32" s="2932"/>
      <c r="AD32" s="2932"/>
      <c r="AE32" s="2932"/>
      <c r="AF32" s="2932"/>
      <c r="AG32" s="2932"/>
      <c r="AH32" s="2932"/>
      <c r="AI32" s="2932"/>
      <c r="AJ32" s="2932"/>
      <c r="AK32" s="2932"/>
      <c r="AL32" s="2932"/>
      <c r="AM32" s="2932"/>
      <c r="AN32" s="2932"/>
      <c r="AO32" s="2932"/>
      <c r="AP32" s="2932"/>
      <c r="AQ32" s="2932"/>
      <c r="AR32" s="2932"/>
      <c r="AS32" s="2932"/>
      <c r="AT32" s="2932"/>
      <c r="AU32" s="2932"/>
      <c r="AV32" s="2932"/>
      <c r="AW32" s="2932"/>
      <c r="AX32" s="2932"/>
      <c r="AY32" s="2932"/>
      <c r="AZ32" s="2933"/>
      <c r="BA32" s="1763"/>
      <c r="BB32" s="1763"/>
      <c r="BC32" s="1763"/>
      <c r="BD32" s="1763"/>
      <c r="BE32" s="1769"/>
    </row>
    <row r="33" spans="1:58" ht="15" customHeight="1">
      <c r="A33" s="1763"/>
      <c r="B33" s="2926"/>
      <c r="C33" s="2924"/>
      <c r="D33" s="2924"/>
      <c r="E33" s="2924"/>
      <c r="F33" s="2924"/>
      <c r="G33" s="2924"/>
      <c r="H33" s="2924"/>
      <c r="I33" s="2925"/>
      <c r="J33" s="2930"/>
      <c r="K33" s="2928"/>
      <c r="L33" s="2928"/>
      <c r="M33" s="2929"/>
      <c r="N33" s="2930"/>
      <c r="O33" s="2928"/>
      <c r="P33" s="2928"/>
      <c r="Q33" s="2928"/>
      <c r="R33" s="2862" t="s">
        <v>2007</v>
      </c>
      <c r="S33" s="2934"/>
      <c r="T33" s="2934"/>
      <c r="U33" s="2934"/>
      <c r="V33" s="2934"/>
      <c r="W33" s="2934"/>
      <c r="X33" s="2934"/>
      <c r="Y33" s="2934"/>
      <c r="Z33" s="2934"/>
      <c r="AA33" s="2934"/>
      <c r="AB33" s="2934"/>
      <c r="AC33" s="2934"/>
      <c r="AD33" s="2934"/>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5"/>
      <c r="BA33" s="1770"/>
      <c r="BB33" s="1763"/>
      <c r="BC33" s="1763"/>
      <c r="BD33" s="1763"/>
      <c r="BE33" s="1769"/>
    </row>
    <row r="34" spans="1:58" ht="15.75" customHeight="1" thickBot="1">
      <c r="A34" s="1763"/>
      <c r="B34" s="2926"/>
      <c r="C34" s="2924"/>
      <c r="D34" s="2924"/>
      <c r="E34" s="2924"/>
      <c r="F34" s="2924"/>
      <c r="G34" s="2924"/>
      <c r="H34" s="2924"/>
      <c r="I34" s="2925"/>
      <c r="J34" s="2930"/>
      <c r="K34" s="2928"/>
      <c r="L34" s="2928"/>
      <c r="M34" s="2929"/>
      <c r="N34" s="2930"/>
      <c r="O34" s="2928"/>
      <c r="P34" s="2928"/>
      <c r="Q34" s="2928"/>
      <c r="R34" s="2936"/>
      <c r="S34" s="2937"/>
      <c r="T34" s="2937"/>
      <c r="U34" s="2937"/>
      <c r="V34" s="2937"/>
      <c r="W34" s="2937"/>
      <c r="X34" s="2937"/>
      <c r="Y34" s="2937"/>
      <c r="Z34" s="2937"/>
      <c r="AA34" s="2937"/>
      <c r="AB34" s="2937"/>
      <c r="AC34" s="2937"/>
      <c r="AD34" s="2937"/>
      <c r="AE34" s="2937"/>
      <c r="AF34" s="2937"/>
      <c r="AG34" s="2937"/>
      <c r="AH34" s="2937"/>
      <c r="AI34" s="2937"/>
      <c r="AJ34" s="2937"/>
      <c r="AK34" s="2937"/>
      <c r="AL34" s="2937"/>
      <c r="AM34" s="2937"/>
      <c r="AN34" s="2937"/>
      <c r="AO34" s="2937"/>
      <c r="AP34" s="2937"/>
      <c r="AQ34" s="2937"/>
      <c r="AR34" s="2937"/>
      <c r="AS34" s="2937"/>
      <c r="AT34" s="2937"/>
      <c r="AU34" s="2937"/>
      <c r="AV34" s="2937"/>
      <c r="AW34" s="2937"/>
      <c r="AX34" s="2937"/>
      <c r="AY34" s="2937"/>
      <c r="AZ34" s="2938"/>
      <c r="BA34" s="1770"/>
      <c r="BB34" s="1763"/>
      <c r="BC34" s="1763"/>
      <c r="BD34" s="1763"/>
      <c r="BE34" s="1769"/>
    </row>
    <row r="35" spans="1:58" ht="15.75" customHeight="1" thickBot="1">
      <c r="A35" s="1763"/>
      <c r="B35" s="2926"/>
      <c r="C35" s="2924"/>
      <c r="D35" s="2924"/>
      <c r="E35" s="2924"/>
      <c r="F35" s="2924"/>
      <c r="G35" s="2924"/>
      <c r="H35" s="2924"/>
      <c r="I35" s="2925"/>
      <c r="J35" s="2930"/>
      <c r="K35" s="2928"/>
      <c r="L35" s="2928"/>
      <c r="M35" s="2929"/>
      <c r="N35" s="2930"/>
      <c r="O35" s="2928"/>
      <c r="P35" s="2928"/>
      <c r="Q35" s="2928"/>
      <c r="R35" s="2908">
        <v>0.3</v>
      </c>
      <c r="S35" s="2909"/>
      <c r="T35" s="2909"/>
      <c r="U35" s="2910"/>
      <c r="V35" s="2908">
        <v>0.4</v>
      </c>
      <c r="W35" s="2909"/>
      <c r="X35" s="2909"/>
      <c r="Y35" s="2910"/>
      <c r="Z35" s="2908">
        <v>0.5</v>
      </c>
      <c r="AA35" s="2909"/>
      <c r="AB35" s="2909"/>
      <c r="AC35" s="2910"/>
      <c r="AD35" s="2908">
        <v>0.6</v>
      </c>
      <c r="AE35" s="2909"/>
      <c r="AF35" s="2909"/>
      <c r="AG35" s="2910"/>
      <c r="AH35" s="2908">
        <v>0.8</v>
      </c>
      <c r="AI35" s="2909"/>
      <c r="AJ35" s="2909"/>
      <c r="AK35" s="2910"/>
      <c r="AL35" s="2908" t="s">
        <v>2433</v>
      </c>
      <c r="AM35" s="2909"/>
      <c r="AN35" s="2910"/>
      <c r="AO35" s="2911" t="s">
        <v>2008</v>
      </c>
      <c r="AP35" s="2912"/>
      <c r="AQ35" s="2912"/>
      <c r="AR35" s="2912"/>
      <c r="AS35" s="2912"/>
      <c r="AT35" s="2913"/>
      <c r="AU35" s="2911" t="s">
        <v>2009</v>
      </c>
      <c r="AV35" s="2912"/>
      <c r="AW35" s="2912"/>
      <c r="AX35" s="2912"/>
      <c r="AY35" s="2912"/>
      <c r="AZ35" s="2913"/>
      <c r="BA35" s="1770"/>
      <c r="BB35" s="1763"/>
      <c r="BC35" s="1763"/>
      <c r="BD35" s="1763"/>
      <c r="BE35" s="1769"/>
      <c r="BF35" s="1761"/>
    </row>
    <row r="36" spans="1:58" ht="15.75" customHeight="1">
      <c r="A36" s="1763"/>
      <c r="B36" s="2899" t="s">
        <v>2010</v>
      </c>
      <c r="C36" s="2900"/>
      <c r="D36" s="2900"/>
      <c r="E36" s="2900"/>
      <c r="F36" s="2900"/>
      <c r="G36" s="2900"/>
      <c r="H36" s="2900"/>
      <c r="I36" s="2901"/>
      <c r="J36" s="2902" t="s">
        <v>2011</v>
      </c>
      <c r="K36" s="2903"/>
      <c r="L36" s="2903"/>
      <c r="M36" s="2904"/>
      <c r="N36" s="2905">
        <v>55</v>
      </c>
      <c r="O36" s="2906"/>
      <c r="P36" s="2906"/>
      <c r="Q36" s="2907"/>
      <c r="R36" s="2897">
        <v>10</v>
      </c>
      <c r="S36" s="2897"/>
      <c r="T36" s="2897"/>
      <c r="U36" s="2897"/>
      <c r="V36" s="2897">
        <v>30</v>
      </c>
      <c r="W36" s="2897"/>
      <c r="X36" s="2897"/>
      <c r="Y36" s="2897"/>
      <c r="Z36" s="2897"/>
      <c r="AA36" s="2897"/>
      <c r="AB36" s="2897"/>
      <c r="AC36" s="2897"/>
      <c r="AD36" s="2897"/>
      <c r="AE36" s="2897"/>
      <c r="AF36" s="2897"/>
      <c r="AG36" s="2897"/>
      <c r="AH36" s="2898"/>
      <c r="AI36" s="2898"/>
      <c r="AJ36" s="2898"/>
      <c r="AK36" s="2898"/>
      <c r="AL36" s="2898"/>
      <c r="AM36" s="2898"/>
      <c r="AN36" s="2898"/>
      <c r="AO36" s="2869">
        <f>SUM(R36:AN36)</f>
        <v>40</v>
      </c>
      <c r="AP36" s="2869"/>
      <c r="AQ36" s="2869"/>
      <c r="AR36" s="2869"/>
      <c r="AS36" s="2869"/>
      <c r="AT36" s="2869"/>
      <c r="AU36" s="2870">
        <f>AO36/$J$29</f>
        <v>0.1360544217687075</v>
      </c>
      <c r="AV36" s="2870"/>
      <c r="AW36" s="2870"/>
      <c r="AX36" s="2870"/>
      <c r="AY36" s="2870"/>
      <c r="AZ36" s="2870"/>
      <c r="BA36" s="1763"/>
      <c r="BB36" s="1763"/>
      <c r="BC36" s="1763"/>
      <c r="BD36" s="1763"/>
      <c r="BE36" s="1769"/>
      <c r="BF36" s="1761"/>
    </row>
    <row r="37" spans="1:58" ht="15.75" customHeight="1">
      <c r="A37" s="1763"/>
      <c r="B37" s="2892" t="s">
        <v>2012</v>
      </c>
      <c r="C37" s="2893"/>
      <c r="D37" s="2893"/>
      <c r="E37" s="2893"/>
      <c r="F37" s="2893"/>
      <c r="G37" s="2893"/>
      <c r="H37" s="2893"/>
      <c r="I37" s="2894"/>
      <c r="J37" s="2895" t="s">
        <v>2013</v>
      </c>
      <c r="K37" s="2883"/>
      <c r="L37" s="2883"/>
      <c r="M37" s="2896"/>
      <c r="N37" s="2882">
        <v>55</v>
      </c>
      <c r="O37" s="2883"/>
      <c r="P37" s="2883"/>
      <c r="Q37" s="2884"/>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9">
        <f t="shared" ref="AO37:AO47" si="2">SUM(R37:AN37)</f>
        <v>0</v>
      </c>
      <c r="AP37" s="2869"/>
      <c r="AQ37" s="2869"/>
      <c r="AR37" s="2869"/>
      <c r="AS37" s="2869"/>
      <c r="AT37" s="2869"/>
      <c r="AU37" s="2870">
        <f t="shared" ref="AU37:AU47" si="3">AO37/$J$29</f>
        <v>0</v>
      </c>
      <c r="AV37" s="2870"/>
      <c r="AW37" s="2870"/>
      <c r="AX37" s="2870"/>
      <c r="AY37" s="2870"/>
      <c r="AZ37" s="2870"/>
      <c r="BA37" s="1763"/>
      <c r="BB37" s="1763"/>
      <c r="BC37" s="1763"/>
      <c r="BD37" s="1763"/>
      <c r="BE37" s="1769"/>
      <c r="BF37" s="1761"/>
    </row>
    <row r="38" spans="1:58" ht="15.75" customHeight="1">
      <c r="A38" s="1763"/>
      <c r="B38" s="2892" t="s">
        <v>2014</v>
      </c>
      <c r="C38" s="2893"/>
      <c r="D38" s="2893"/>
      <c r="E38" s="2893"/>
      <c r="F38" s="2893"/>
      <c r="G38" s="2893"/>
      <c r="H38" s="2893"/>
      <c r="I38" s="2894"/>
      <c r="J38" s="2895" t="s">
        <v>2015</v>
      </c>
      <c r="K38" s="2883"/>
      <c r="L38" s="2883"/>
      <c r="M38" s="2896"/>
      <c r="N38" s="2882">
        <v>55</v>
      </c>
      <c r="O38" s="2883"/>
      <c r="P38" s="2883"/>
      <c r="Q38" s="2884"/>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9">
        <f t="shared" si="2"/>
        <v>0</v>
      </c>
      <c r="AP38" s="2869"/>
      <c r="AQ38" s="2869"/>
      <c r="AR38" s="2869"/>
      <c r="AS38" s="2869"/>
      <c r="AT38" s="2869"/>
      <c r="AU38" s="2870">
        <f t="shared" si="3"/>
        <v>0</v>
      </c>
      <c r="AV38" s="2870"/>
      <c r="AW38" s="2870"/>
      <c r="AX38" s="2870"/>
      <c r="AY38" s="2870"/>
      <c r="AZ38" s="2870"/>
      <c r="BA38" s="1763"/>
      <c r="BB38" s="1763"/>
      <c r="BC38" s="1763"/>
      <c r="BD38" s="1763"/>
      <c r="BE38" s="1769"/>
      <c r="BF38" s="1761"/>
    </row>
    <row r="39" spans="1:58" ht="15.75" customHeight="1">
      <c r="A39" s="1763"/>
      <c r="B39" s="2892" t="s">
        <v>2016</v>
      </c>
      <c r="C39" s="2893"/>
      <c r="D39" s="2893"/>
      <c r="E39" s="2893"/>
      <c r="F39" s="2893"/>
      <c r="G39" s="2893"/>
      <c r="H39" s="2893"/>
      <c r="I39" s="2894"/>
      <c r="J39" s="2880"/>
      <c r="K39" s="2643"/>
      <c r="L39" s="2643"/>
      <c r="M39" s="2881"/>
      <c r="N39" s="2814"/>
      <c r="O39" s="2643"/>
      <c r="P39" s="2643"/>
      <c r="Q39" s="2885"/>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9">
        <f t="shared" si="2"/>
        <v>0</v>
      </c>
      <c r="AP39" s="2869"/>
      <c r="AQ39" s="2869"/>
      <c r="AR39" s="2869"/>
      <c r="AS39" s="2869"/>
      <c r="AT39" s="2869"/>
      <c r="AU39" s="2870">
        <f t="shared" si="3"/>
        <v>0</v>
      </c>
      <c r="AV39" s="2870"/>
      <c r="AW39" s="2870"/>
      <c r="AX39" s="2870"/>
      <c r="AY39" s="2870"/>
      <c r="AZ39" s="2870"/>
      <c r="BA39" s="1763"/>
      <c r="BB39" s="1763"/>
      <c r="BC39" s="1763"/>
      <c r="BD39" s="1763"/>
      <c r="BE39" s="1769"/>
    </row>
    <row r="40" spans="1:58" ht="15.75" customHeight="1">
      <c r="A40" s="1763"/>
      <c r="B40" s="2892" t="s">
        <v>2016</v>
      </c>
      <c r="C40" s="2893"/>
      <c r="D40" s="2893"/>
      <c r="E40" s="2893"/>
      <c r="F40" s="2893"/>
      <c r="G40" s="2893"/>
      <c r="H40" s="2893"/>
      <c r="I40" s="2894"/>
      <c r="J40" s="2880"/>
      <c r="K40" s="2643"/>
      <c r="L40" s="2643"/>
      <c r="M40" s="2881"/>
      <c r="N40" s="2814"/>
      <c r="O40" s="2643"/>
      <c r="P40" s="2643"/>
      <c r="Q40" s="2885"/>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9">
        <f t="shared" si="2"/>
        <v>0</v>
      </c>
      <c r="AP40" s="2869"/>
      <c r="AQ40" s="2869"/>
      <c r="AR40" s="2869"/>
      <c r="AS40" s="2869"/>
      <c r="AT40" s="2869"/>
      <c r="AU40" s="2870">
        <f t="shared" si="3"/>
        <v>0</v>
      </c>
      <c r="AV40" s="2870"/>
      <c r="AW40" s="2870"/>
      <c r="AX40" s="2870"/>
      <c r="AY40" s="2870"/>
      <c r="AZ40" s="2870"/>
      <c r="BA40" s="1763"/>
      <c r="BB40" s="1763"/>
      <c r="BC40" s="1763"/>
      <c r="BD40" s="1763"/>
      <c r="BE40" s="1769"/>
    </row>
    <row r="41" spans="1:58" ht="15.75" customHeight="1">
      <c r="A41" s="1763"/>
      <c r="B41" s="2889" t="s">
        <v>2017</v>
      </c>
      <c r="C41" s="2890"/>
      <c r="D41" s="2890"/>
      <c r="E41" s="2890"/>
      <c r="F41" s="2890"/>
      <c r="G41" s="2890"/>
      <c r="H41" s="2890"/>
      <c r="I41" s="2891"/>
      <c r="J41" s="2880"/>
      <c r="K41" s="2643"/>
      <c r="L41" s="2643"/>
      <c r="M41" s="2881"/>
      <c r="N41" s="2814"/>
      <c r="O41" s="2643"/>
      <c r="P41" s="2643"/>
      <c r="Q41" s="2885"/>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9">
        <f t="shared" si="2"/>
        <v>0</v>
      </c>
      <c r="AP41" s="2869"/>
      <c r="AQ41" s="2869"/>
      <c r="AR41" s="2869"/>
      <c r="AS41" s="2869"/>
      <c r="AT41" s="2869"/>
      <c r="AU41" s="2870">
        <f t="shared" si="3"/>
        <v>0</v>
      </c>
      <c r="AV41" s="2870"/>
      <c r="AW41" s="2870"/>
      <c r="AX41" s="2870"/>
      <c r="AY41" s="2870"/>
      <c r="AZ41" s="2870"/>
      <c r="BA41" s="1763"/>
      <c r="BB41" s="1763"/>
      <c r="BC41" s="1763"/>
      <c r="BD41" s="1763"/>
      <c r="BE41" s="1769"/>
    </row>
    <row r="42" spans="1:58" ht="15.75" customHeight="1">
      <c r="A42" s="1763"/>
      <c r="B42" s="2889" t="s">
        <v>2017</v>
      </c>
      <c r="C42" s="2890"/>
      <c r="D42" s="2890"/>
      <c r="E42" s="2890"/>
      <c r="F42" s="2890"/>
      <c r="G42" s="2890"/>
      <c r="H42" s="2890"/>
      <c r="I42" s="2891"/>
      <c r="J42" s="2880"/>
      <c r="K42" s="2643"/>
      <c r="L42" s="2643"/>
      <c r="M42" s="2881"/>
      <c r="N42" s="2814"/>
      <c r="O42" s="2643"/>
      <c r="P42" s="2643"/>
      <c r="Q42" s="2885"/>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9">
        <f t="shared" si="2"/>
        <v>0</v>
      </c>
      <c r="AP42" s="2869"/>
      <c r="AQ42" s="2869"/>
      <c r="AR42" s="2869"/>
      <c r="AS42" s="2869"/>
      <c r="AT42" s="2869"/>
      <c r="AU42" s="2870">
        <f t="shared" si="3"/>
        <v>0</v>
      </c>
      <c r="AV42" s="2870"/>
      <c r="AW42" s="2870"/>
      <c r="AX42" s="2870"/>
      <c r="AY42" s="2870"/>
      <c r="AZ42" s="2870"/>
      <c r="BA42" s="1763"/>
      <c r="BB42" s="1763"/>
      <c r="BC42" s="1763"/>
      <c r="BD42" s="1763"/>
      <c r="BE42" s="1769"/>
    </row>
    <row r="43" spans="1:58" ht="15.75" customHeight="1">
      <c r="A43" s="1763"/>
      <c r="B43" s="2886" t="s">
        <v>2018</v>
      </c>
      <c r="C43" s="2887"/>
      <c r="D43" s="2887"/>
      <c r="E43" s="2887"/>
      <c r="F43" s="2887"/>
      <c r="G43" s="2887"/>
      <c r="H43" s="2887"/>
      <c r="I43" s="2888"/>
      <c r="J43" s="2880"/>
      <c r="K43" s="2643"/>
      <c r="L43" s="2643"/>
      <c r="M43" s="2881"/>
      <c r="N43" s="2814"/>
      <c r="O43" s="2643"/>
      <c r="P43" s="2643"/>
      <c r="Q43" s="2885"/>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9">
        <f t="shared" si="2"/>
        <v>0</v>
      </c>
      <c r="AP43" s="2869"/>
      <c r="AQ43" s="2869"/>
      <c r="AR43" s="2869"/>
      <c r="AS43" s="2869"/>
      <c r="AT43" s="2869"/>
      <c r="AU43" s="2870">
        <f t="shared" si="3"/>
        <v>0</v>
      </c>
      <c r="AV43" s="2870"/>
      <c r="AW43" s="2870"/>
      <c r="AX43" s="2870"/>
      <c r="AY43" s="2870"/>
      <c r="AZ43" s="2870"/>
      <c r="BA43" s="1763"/>
      <c r="BB43" s="1763"/>
      <c r="BC43" s="1763"/>
      <c r="BD43" s="1763"/>
      <c r="BE43" s="1769"/>
    </row>
    <row r="44" spans="1:58" ht="15.75" customHeight="1">
      <c r="A44" s="1763"/>
      <c r="B44" s="2886" t="s">
        <v>2019</v>
      </c>
      <c r="C44" s="2887"/>
      <c r="D44" s="2887"/>
      <c r="E44" s="2887"/>
      <c r="F44" s="2887"/>
      <c r="G44" s="2887"/>
      <c r="H44" s="2887"/>
      <c r="I44" s="2888"/>
      <c r="J44" s="2880"/>
      <c r="K44" s="2643"/>
      <c r="L44" s="2643"/>
      <c r="M44" s="2881"/>
      <c r="N44" s="2814"/>
      <c r="O44" s="2643"/>
      <c r="P44" s="2643"/>
      <c r="Q44" s="2885"/>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9">
        <f t="shared" si="2"/>
        <v>0</v>
      </c>
      <c r="AP44" s="2869"/>
      <c r="AQ44" s="2869"/>
      <c r="AR44" s="2869"/>
      <c r="AS44" s="2869"/>
      <c r="AT44" s="2869"/>
      <c r="AU44" s="2870">
        <f t="shared" si="3"/>
        <v>0</v>
      </c>
      <c r="AV44" s="2870"/>
      <c r="AW44" s="2870"/>
      <c r="AX44" s="2870"/>
      <c r="AY44" s="2870"/>
      <c r="AZ44" s="2870"/>
      <c r="BA44" s="1763"/>
      <c r="BB44" s="1763"/>
      <c r="BC44" s="1763"/>
      <c r="BD44" s="1763"/>
      <c r="BE44" s="1769"/>
    </row>
    <row r="45" spans="1:58" ht="15.75" customHeight="1">
      <c r="A45" s="1763"/>
      <c r="B45" s="2877" t="s">
        <v>2020</v>
      </c>
      <c r="C45" s="2878"/>
      <c r="D45" s="2878"/>
      <c r="E45" s="2878"/>
      <c r="F45" s="2878"/>
      <c r="G45" s="2878"/>
      <c r="H45" s="2878"/>
      <c r="I45" s="2879"/>
      <c r="J45" s="2880"/>
      <c r="K45" s="2643"/>
      <c r="L45" s="2643"/>
      <c r="M45" s="2881"/>
      <c r="N45" s="2814"/>
      <c r="O45" s="2643"/>
      <c r="P45" s="2643"/>
      <c r="Q45" s="2885"/>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9">
        <f t="shared" si="2"/>
        <v>0</v>
      </c>
      <c r="AP45" s="2869"/>
      <c r="AQ45" s="2869"/>
      <c r="AR45" s="2869"/>
      <c r="AS45" s="2869"/>
      <c r="AT45" s="2869"/>
      <c r="AU45" s="2870">
        <f t="shared" si="3"/>
        <v>0</v>
      </c>
      <c r="AV45" s="2870"/>
      <c r="AW45" s="2870"/>
      <c r="AX45" s="2870"/>
      <c r="AY45" s="2870"/>
      <c r="AZ45" s="2870"/>
      <c r="BA45" s="1763"/>
      <c r="BB45" s="1763"/>
      <c r="BC45" s="1763"/>
      <c r="BD45" s="1763"/>
      <c r="BE45" s="1769"/>
    </row>
    <row r="46" spans="1:58" ht="15.75" customHeight="1">
      <c r="A46" s="1763"/>
      <c r="B46" s="2877" t="s">
        <v>2021</v>
      </c>
      <c r="C46" s="2878"/>
      <c r="D46" s="2878"/>
      <c r="E46" s="2878"/>
      <c r="F46" s="2878"/>
      <c r="G46" s="2878"/>
      <c r="H46" s="2878"/>
      <c r="I46" s="2879"/>
      <c r="J46" s="2880"/>
      <c r="K46" s="2643"/>
      <c r="L46" s="2643"/>
      <c r="M46" s="2881"/>
      <c r="N46" s="2882">
        <v>99</v>
      </c>
      <c r="O46" s="2883"/>
      <c r="P46" s="2883"/>
      <c r="Q46" s="2884"/>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9">
        <f t="shared" si="2"/>
        <v>0</v>
      </c>
      <c r="AP46" s="2869"/>
      <c r="AQ46" s="2869"/>
      <c r="AR46" s="2869"/>
      <c r="AS46" s="2869"/>
      <c r="AT46" s="2869"/>
      <c r="AU46" s="2870">
        <f t="shared" si="3"/>
        <v>0</v>
      </c>
      <c r="AV46" s="2870"/>
      <c r="AW46" s="2870"/>
      <c r="AX46" s="2870"/>
      <c r="AY46" s="2870"/>
      <c r="AZ46" s="2870"/>
      <c r="BA46" s="1763"/>
      <c r="BB46" s="1763"/>
      <c r="BC46" s="1763"/>
      <c r="BD46" s="1763"/>
      <c r="BE46" s="1769"/>
    </row>
    <row r="47" spans="1:58" ht="15.75" customHeight="1" thickBot="1">
      <c r="A47" s="1763"/>
      <c r="B47" s="2871" t="s">
        <v>308</v>
      </c>
      <c r="C47" s="2872"/>
      <c r="D47" s="2872"/>
      <c r="E47" s="2872"/>
      <c r="F47" s="2872"/>
      <c r="G47" s="2872"/>
      <c r="H47" s="2872"/>
      <c r="I47" s="2873"/>
      <c r="J47" s="2874"/>
      <c r="K47" s="2780"/>
      <c r="L47" s="2780"/>
      <c r="M47" s="2781"/>
      <c r="N47" s="2875"/>
      <c r="O47" s="2780"/>
      <c r="P47" s="2780"/>
      <c r="Q47" s="2876"/>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9">
        <f t="shared" si="2"/>
        <v>0</v>
      </c>
      <c r="AP47" s="2869"/>
      <c r="AQ47" s="2869"/>
      <c r="AR47" s="2869"/>
      <c r="AS47" s="2869"/>
      <c r="AT47" s="2869"/>
      <c r="AU47" s="2870">
        <f t="shared" si="3"/>
        <v>0</v>
      </c>
      <c r="AV47" s="2870"/>
      <c r="AW47" s="2870"/>
      <c r="AX47" s="2870"/>
      <c r="AY47" s="2870"/>
      <c r="AZ47" s="2870"/>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26" t="s">
        <v>2023</v>
      </c>
      <c r="C50" s="2727"/>
      <c r="D50" s="2727"/>
      <c r="E50" s="2727"/>
      <c r="F50" s="2727"/>
      <c r="G50" s="2727"/>
      <c r="H50" s="2727"/>
      <c r="I50" s="2727"/>
      <c r="J50" s="2727"/>
      <c r="K50" s="2727"/>
      <c r="L50" s="2727"/>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858"/>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59" t="s">
        <v>2024</v>
      </c>
      <c r="C51" s="2860"/>
      <c r="D51" s="2860"/>
      <c r="E51" s="2860"/>
      <c r="F51" s="2860"/>
      <c r="G51" s="2860"/>
      <c r="H51" s="2860"/>
      <c r="I51" s="2861"/>
      <c r="J51" s="2859" t="s">
        <v>2025</v>
      </c>
      <c r="K51" s="2860"/>
      <c r="L51" s="2860"/>
      <c r="M51" s="2860"/>
      <c r="N51" s="2860"/>
      <c r="O51" s="2860"/>
      <c r="P51" s="2860"/>
      <c r="Q51" s="2861"/>
      <c r="R51" s="2862" t="s">
        <v>2026</v>
      </c>
      <c r="S51" s="2863"/>
      <c r="T51" s="2863"/>
      <c r="U51" s="2863"/>
      <c r="V51" s="2863"/>
      <c r="W51" s="2863"/>
      <c r="X51" s="2863"/>
      <c r="Y51" s="2864"/>
      <c r="Z51" s="2865" t="s">
        <v>2027</v>
      </c>
      <c r="AA51" s="2866"/>
      <c r="AB51" s="2866"/>
      <c r="AC51" s="2866"/>
      <c r="AD51" s="2866"/>
      <c r="AE51" s="2866"/>
      <c r="AF51" s="2866"/>
      <c r="AG51" s="2867"/>
      <c r="AH51" s="2865" t="s">
        <v>2028</v>
      </c>
      <c r="AI51" s="2866"/>
      <c r="AJ51" s="2866"/>
      <c r="AK51" s="2866"/>
      <c r="AL51" s="2866"/>
      <c r="AM51" s="2866"/>
      <c r="AN51" s="2866"/>
      <c r="AO51" s="286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4" t="s">
        <v>2455</v>
      </c>
      <c r="C52" s="2835"/>
      <c r="D52" s="2835"/>
      <c r="E52" s="2835"/>
      <c r="F52" s="2835"/>
      <c r="G52" s="2835"/>
      <c r="H52" s="2835"/>
      <c r="I52" s="2835"/>
      <c r="J52" s="2835">
        <v>0</v>
      </c>
      <c r="K52" s="2835"/>
      <c r="L52" s="2835"/>
      <c r="M52" s="2835"/>
      <c r="N52" s="2835"/>
      <c r="O52" s="2835"/>
      <c r="P52" s="2835"/>
      <c r="Q52" s="2835"/>
      <c r="R52" s="2854">
        <v>0</v>
      </c>
      <c r="S52" s="2854"/>
      <c r="T52" s="2854"/>
      <c r="U52" s="2854"/>
      <c r="V52" s="2854"/>
      <c r="W52" s="2854"/>
      <c r="X52" s="2854"/>
      <c r="Y52" s="2854"/>
      <c r="Z52" s="2855"/>
      <c r="AA52" s="2855"/>
      <c r="AB52" s="2855"/>
      <c r="AC52" s="2855"/>
      <c r="AD52" s="2855"/>
      <c r="AE52" s="2855"/>
      <c r="AF52" s="2855"/>
      <c r="AG52" s="2855"/>
      <c r="AH52" s="2856">
        <v>0</v>
      </c>
      <c r="AI52" s="2856"/>
      <c r="AJ52" s="2856"/>
      <c r="AK52" s="2856"/>
      <c r="AL52" s="2856"/>
      <c r="AM52" s="2856"/>
      <c r="AN52" s="2856"/>
      <c r="AO52" s="2857"/>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4" t="s">
        <v>2456</v>
      </c>
      <c r="C53" s="2835"/>
      <c r="D53" s="2835"/>
      <c r="E53" s="2835"/>
      <c r="F53" s="2835"/>
      <c r="G53" s="2835"/>
      <c r="H53" s="2835"/>
      <c r="I53" s="2835"/>
      <c r="J53" s="2835"/>
      <c r="K53" s="2835"/>
      <c r="L53" s="2835"/>
      <c r="M53" s="2835"/>
      <c r="N53" s="2835"/>
      <c r="O53" s="2835"/>
      <c r="P53" s="2835"/>
      <c r="Q53" s="2835"/>
      <c r="R53" s="2854">
        <v>0</v>
      </c>
      <c r="S53" s="2854"/>
      <c r="T53" s="2854"/>
      <c r="U53" s="2854"/>
      <c r="V53" s="2854"/>
      <c r="W53" s="2854"/>
      <c r="X53" s="2854"/>
      <c r="Y53" s="2854"/>
      <c r="Z53" s="2855"/>
      <c r="AA53" s="2855"/>
      <c r="AB53" s="2855"/>
      <c r="AC53" s="2855"/>
      <c r="AD53" s="2855"/>
      <c r="AE53" s="2855"/>
      <c r="AF53" s="2855"/>
      <c r="AG53" s="2855"/>
      <c r="AH53" s="2856">
        <v>0</v>
      </c>
      <c r="AI53" s="2856"/>
      <c r="AJ53" s="2856"/>
      <c r="AK53" s="2856"/>
      <c r="AL53" s="2856"/>
      <c r="AM53" s="2856"/>
      <c r="AN53" s="2856"/>
      <c r="AO53" s="2857"/>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4"/>
      <c r="C54" s="2835"/>
      <c r="D54" s="2835"/>
      <c r="E54" s="2835"/>
      <c r="F54" s="2835"/>
      <c r="G54" s="2835"/>
      <c r="H54" s="2835"/>
      <c r="I54" s="2835"/>
      <c r="J54" s="2835"/>
      <c r="K54" s="2835"/>
      <c r="L54" s="2835"/>
      <c r="M54" s="2835"/>
      <c r="N54" s="2835"/>
      <c r="O54" s="2835"/>
      <c r="P54" s="2835"/>
      <c r="Q54" s="2835"/>
      <c r="R54" s="2854">
        <v>0</v>
      </c>
      <c r="S54" s="2854"/>
      <c r="T54" s="2854"/>
      <c r="U54" s="2854"/>
      <c r="V54" s="2854"/>
      <c r="W54" s="2854"/>
      <c r="X54" s="2854"/>
      <c r="Y54" s="2854"/>
      <c r="Z54" s="2855"/>
      <c r="AA54" s="2855"/>
      <c r="AB54" s="2855"/>
      <c r="AC54" s="2855"/>
      <c r="AD54" s="2855"/>
      <c r="AE54" s="2855"/>
      <c r="AF54" s="2855"/>
      <c r="AG54" s="2855"/>
      <c r="AH54" s="2856">
        <v>0</v>
      </c>
      <c r="AI54" s="2856"/>
      <c r="AJ54" s="2856"/>
      <c r="AK54" s="2856"/>
      <c r="AL54" s="2856"/>
      <c r="AM54" s="2856"/>
      <c r="AN54" s="2856"/>
      <c r="AO54" s="2857"/>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4"/>
      <c r="C55" s="2835"/>
      <c r="D55" s="2835"/>
      <c r="E55" s="2835"/>
      <c r="F55" s="2835"/>
      <c r="G55" s="2835"/>
      <c r="H55" s="2835"/>
      <c r="I55" s="2835"/>
      <c r="J55" s="2835"/>
      <c r="K55" s="2835"/>
      <c r="L55" s="2835"/>
      <c r="M55" s="2835"/>
      <c r="N55" s="2835"/>
      <c r="O55" s="2835"/>
      <c r="P55" s="2835"/>
      <c r="Q55" s="2835"/>
      <c r="R55" s="2854">
        <v>0</v>
      </c>
      <c r="S55" s="2854"/>
      <c r="T55" s="2854"/>
      <c r="U55" s="2854"/>
      <c r="V55" s="2854"/>
      <c r="W55" s="2854"/>
      <c r="X55" s="2854"/>
      <c r="Y55" s="2854"/>
      <c r="Z55" s="2855"/>
      <c r="AA55" s="2855"/>
      <c r="AB55" s="2855"/>
      <c r="AC55" s="2855"/>
      <c r="AD55" s="2855"/>
      <c r="AE55" s="2855"/>
      <c r="AF55" s="2855"/>
      <c r="AG55" s="2855"/>
      <c r="AH55" s="2856">
        <v>0</v>
      </c>
      <c r="AI55" s="2856"/>
      <c r="AJ55" s="2856"/>
      <c r="AK55" s="2856"/>
      <c r="AL55" s="2856"/>
      <c r="AM55" s="2856"/>
      <c r="AN55" s="2856"/>
      <c r="AO55" s="2857"/>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38"/>
      <c r="C56" s="2839"/>
      <c r="D56" s="2839"/>
      <c r="E56" s="2839"/>
      <c r="F56" s="2839"/>
      <c r="G56" s="2839"/>
      <c r="H56" s="2839"/>
      <c r="I56" s="2839"/>
      <c r="J56" s="2839"/>
      <c r="K56" s="2839"/>
      <c r="L56" s="2839"/>
      <c r="M56" s="2839"/>
      <c r="N56" s="2839"/>
      <c r="O56" s="2839"/>
      <c r="P56" s="2839"/>
      <c r="Q56" s="2839"/>
      <c r="R56" s="2845">
        <v>0</v>
      </c>
      <c r="S56" s="2845"/>
      <c r="T56" s="2845"/>
      <c r="U56" s="2845"/>
      <c r="V56" s="2845"/>
      <c r="W56" s="2845"/>
      <c r="X56" s="2845"/>
      <c r="Y56" s="2845"/>
      <c r="Z56" s="2846"/>
      <c r="AA56" s="2846"/>
      <c r="AB56" s="2846"/>
      <c r="AC56" s="2846"/>
      <c r="AD56" s="2846"/>
      <c r="AE56" s="2846"/>
      <c r="AF56" s="2846"/>
      <c r="AG56" s="2846"/>
      <c r="AH56" s="2847"/>
      <c r="AI56" s="2847"/>
      <c r="AJ56" s="2847"/>
      <c r="AK56" s="2847"/>
      <c r="AL56" s="2847"/>
      <c r="AM56" s="2847"/>
      <c r="AN56" s="2847"/>
      <c r="AO56" s="284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49" t="s">
        <v>1872</v>
      </c>
      <c r="C57" s="2850"/>
      <c r="D57" s="2850"/>
      <c r="E57" s="2850"/>
      <c r="F57" s="2850"/>
      <c r="G57" s="2850"/>
      <c r="H57" s="2850"/>
      <c r="I57" s="2850"/>
      <c r="J57" s="2850"/>
      <c r="K57" s="2850"/>
      <c r="L57" s="2850"/>
      <c r="M57" s="2850"/>
      <c r="N57" s="2850"/>
      <c r="O57" s="2850"/>
      <c r="P57" s="2850"/>
      <c r="Q57" s="2850"/>
      <c r="R57" s="2851">
        <f>SUM(R52:Y56)</f>
        <v>0</v>
      </c>
      <c r="S57" s="2851"/>
      <c r="T57" s="2851"/>
      <c r="U57" s="2851"/>
      <c r="V57" s="2851"/>
      <c r="W57" s="2851"/>
      <c r="X57" s="2851"/>
      <c r="Y57" s="2851"/>
      <c r="Z57" s="2852">
        <f t="shared" ref="Z57" si="4">SUM(Z52:AG56)</f>
        <v>0</v>
      </c>
      <c r="AA57" s="2852"/>
      <c r="AB57" s="2852"/>
      <c r="AC57" s="2852"/>
      <c r="AD57" s="2852"/>
      <c r="AE57" s="2852"/>
      <c r="AF57" s="2852"/>
      <c r="AG57" s="2852"/>
      <c r="AH57" s="2853">
        <f>SUM(AH52:AO56)</f>
        <v>0</v>
      </c>
      <c r="AI57" s="2853"/>
      <c r="AJ57" s="2853"/>
      <c r="AK57" s="2853"/>
      <c r="AL57" s="2853"/>
      <c r="AM57" s="2853"/>
      <c r="AN57" s="2853"/>
      <c r="AO57" s="285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2" t="s">
        <v>2024</v>
      </c>
      <c r="C59" s="2843"/>
      <c r="D59" s="2843"/>
      <c r="E59" s="2843"/>
      <c r="F59" s="2843"/>
      <c r="G59" s="2843"/>
      <c r="H59" s="2843"/>
      <c r="I59" s="2844"/>
      <c r="J59" s="2651" t="s">
        <v>2029</v>
      </c>
      <c r="K59" s="2651"/>
      <c r="L59" s="2651"/>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c r="AS59" s="2651"/>
      <c r="AT59" s="2651"/>
      <c r="AU59" s="2651"/>
      <c r="AV59" s="2651"/>
      <c r="AW59" s="2652"/>
      <c r="AX59" s="1763"/>
      <c r="AY59" s="1763"/>
      <c r="AZ59" s="1763"/>
      <c r="BA59" s="1763"/>
      <c r="BB59" s="1763"/>
      <c r="BC59" s="1763"/>
      <c r="BD59" s="1763"/>
      <c r="BE59" s="1769"/>
    </row>
    <row r="60" spans="1:58" ht="15.75" customHeight="1">
      <c r="A60" s="1763"/>
      <c r="B60" s="2834" t="str">
        <f>IF(B52="", "", B52)</f>
        <v>Services Company 1</v>
      </c>
      <c r="C60" s="2835"/>
      <c r="D60" s="2835"/>
      <c r="E60" s="2835"/>
      <c r="F60" s="2835"/>
      <c r="G60" s="2835"/>
      <c r="H60" s="2835"/>
      <c r="I60" s="2836"/>
      <c r="J60" s="2837"/>
      <c r="K60" s="2835"/>
      <c r="L60" s="2835"/>
      <c r="M60" s="2835"/>
      <c r="N60" s="2835"/>
      <c r="O60" s="2835"/>
      <c r="P60" s="2835"/>
      <c r="Q60" s="2835"/>
      <c r="R60" s="2835"/>
      <c r="S60" s="2835"/>
      <c r="T60" s="2835"/>
      <c r="U60" s="2835"/>
      <c r="V60" s="2835"/>
      <c r="W60" s="2835"/>
      <c r="X60" s="2835"/>
      <c r="Y60" s="2835"/>
      <c r="Z60" s="2835"/>
      <c r="AA60" s="2835"/>
      <c r="AB60" s="2835"/>
      <c r="AC60" s="2835"/>
      <c r="AD60" s="2835"/>
      <c r="AE60" s="2835"/>
      <c r="AF60" s="2835"/>
      <c r="AG60" s="2835"/>
      <c r="AH60" s="2835"/>
      <c r="AI60" s="2835"/>
      <c r="AJ60" s="2835"/>
      <c r="AK60" s="2835"/>
      <c r="AL60" s="2835"/>
      <c r="AM60" s="2835"/>
      <c r="AN60" s="2835"/>
      <c r="AO60" s="2835"/>
      <c r="AP60" s="2835"/>
      <c r="AQ60" s="2835"/>
      <c r="AR60" s="2835"/>
      <c r="AS60" s="2835"/>
      <c r="AT60" s="2835"/>
      <c r="AU60" s="2835"/>
      <c r="AV60" s="2835"/>
      <c r="AW60" s="2836"/>
      <c r="AX60" s="1763"/>
      <c r="AY60" s="1763"/>
      <c r="AZ60" s="1763"/>
      <c r="BA60" s="1763"/>
      <c r="BB60" s="1763"/>
      <c r="BC60" s="1763"/>
      <c r="BD60" s="1763"/>
      <c r="BE60" s="1769"/>
    </row>
    <row r="61" spans="1:58" ht="15.75" customHeight="1">
      <c r="A61" s="1763"/>
      <c r="B61" s="2834" t="str">
        <f t="shared" ref="B61:B64" si="5">IF(B53="", "", B53)</f>
        <v>Services Company 2</v>
      </c>
      <c r="C61" s="2835"/>
      <c r="D61" s="2835"/>
      <c r="E61" s="2835"/>
      <c r="F61" s="2835"/>
      <c r="G61" s="2835"/>
      <c r="H61" s="2835"/>
      <c r="I61" s="2836"/>
      <c r="J61" s="2837"/>
      <c r="K61" s="2835"/>
      <c r="L61" s="2835"/>
      <c r="M61" s="2835"/>
      <c r="N61" s="2835"/>
      <c r="O61" s="2835"/>
      <c r="P61" s="2835"/>
      <c r="Q61" s="2835"/>
      <c r="R61" s="2835"/>
      <c r="S61" s="2835"/>
      <c r="T61" s="2835"/>
      <c r="U61" s="2835"/>
      <c r="V61" s="2835"/>
      <c r="W61" s="2835"/>
      <c r="X61" s="2835"/>
      <c r="Y61" s="2835"/>
      <c r="Z61" s="2835"/>
      <c r="AA61" s="2835"/>
      <c r="AB61" s="2835"/>
      <c r="AC61" s="2835"/>
      <c r="AD61" s="2835"/>
      <c r="AE61" s="2835"/>
      <c r="AF61" s="2835"/>
      <c r="AG61" s="2835"/>
      <c r="AH61" s="2835"/>
      <c r="AI61" s="2835"/>
      <c r="AJ61" s="2835"/>
      <c r="AK61" s="2835"/>
      <c r="AL61" s="2835"/>
      <c r="AM61" s="2835"/>
      <c r="AN61" s="2835"/>
      <c r="AO61" s="2835"/>
      <c r="AP61" s="2835"/>
      <c r="AQ61" s="2835"/>
      <c r="AR61" s="2835"/>
      <c r="AS61" s="2835"/>
      <c r="AT61" s="2835"/>
      <c r="AU61" s="2835"/>
      <c r="AV61" s="2835"/>
      <c r="AW61" s="2836"/>
      <c r="AX61" s="1763"/>
      <c r="AY61" s="1763"/>
      <c r="AZ61" s="1763"/>
      <c r="BA61" s="1763"/>
      <c r="BB61" s="1763"/>
      <c r="BC61" s="1763"/>
      <c r="BD61" s="1763"/>
      <c r="BE61" s="1769"/>
    </row>
    <row r="62" spans="1:58" ht="15.75" customHeight="1">
      <c r="A62" s="1763"/>
      <c r="B62" s="2834" t="str">
        <f t="shared" si="5"/>
        <v/>
      </c>
      <c r="C62" s="2835"/>
      <c r="D62" s="2835"/>
      <c r="E62" s="2835"/>
      <c r="F62" s="2835"/>
      <c r="G62" s="2835"/>
      <c r="H62" s="2835"/>
      <c r="I62" s="2836"/>
      <c r="J62" s="2837"/>
      <c r="K62" s="2835"/>
      <c r="L62" s="2835"/>
      <c r="M62" s="2835"/>
      <c r="N62" s="2835"/>
      <c r="O62" s="2835"/>
      <c r="P62" s="2835"/>
      <c r="Q62" s="2835"/>
      <c r="R62" s="2835"/>
      <c r="S62" s="2835"/>
      <c r="T62" s="2835"/>
      <c r="U62" s="2835"/>
      <c r="V62" s="2835"/>
      <c r="W62" s="2835"/>
      <c r="X62" s="2835"/>
      <c r="Y62" s="2835"/>
      <c r="Z62" s="2835"/>
      <c r="AA62" s="2835"/>
      <c r="AB62" s="2835"/>
      <c r="AC62" s="2835"/>
      <c r="AD62" s="2835"/>
      <c r="AE62" s="2835"/>
      <c r="AF62" s="2835"/>
      <c r="AG62" s="2835"/>
      <c r="AH62" s="2835"/>
      <c r="AI62" s="2835"/>
      <c r="AJ62" s="2835"/>
      <c r="AK62" s="2835"/>
      <c r="AL62" s="2835"/>
      <c r="AM62" s="2835"/>
      <c r="AN62" s="2835"/>
      <c r="AO62" s="2835"/>
      <c r="AP62" s="2835"/>
      <c r="AQ62" s="2835"/>
      <c r="AR62" s="2835"/>
      <c r="AS62" s="2835"/>
      <c r="AT62" s="2835"/>
      <c r="AU62" s="2835"/>
      <c r="AV62" s="2835"/>
      <c r="AW62" s="2836"/>
      <c r="AX62" s="1763"/>
      <c r="AY62" s="1763"/>
      <c r="AZ62" s="1763"/>
      <c r="BA62" s="1763"/>
      <c r="BB62" s="1763"/>
      <c r="BC62" s="1763"/>
      <c r="BD62" s="1763"/>
      <c r="BE62" s="1769"/>
    </row>
    <row r="63" spans="1:58" ht="15.75" customHeight="1">
      <c r="A63" s="1763"/>
      <c r="B63" s="2834" t="str">
        <f t="shared" si="5"/>
        <v/>
      </c>
      <c r="C63" s="2835"/>
      <c r="D63" s="2835"/>
      <c r="E63" s="2835"/>
      <c r="F63" s="2835"/>
      <c r="G63" s="2835"/>
      <c r="H63" s="2835"/>
      <c r="I63" s="2836"/>
      <c r="J63" s="2837"/>
      <c r="K63" s="2835"/>
      <c r="L63" s="2835"/>
      <c r="M63" s="2835"/>
      <c r="N63" s="2835"/>
      <c r="O63" s="2835"/>
      <c r="P63" s="2835"/>
      <c r="Q63" s="2835"/>
      <c r="R63" s="2835"/>
      <c r="S63" s="2835"/>
      <c r="T63" s="2835"/>
      <c r="U63" s="2835"/>
      <c r="V63" s="2835"/>
      <c r="W63" s="2835"/>
      <c r="X63" s="2835"/>
      <c r="Y63" s="2835"/>
      <c r="Z63" s="2835"/>
      <c r="AA63" s="2835"/>
      <c r="AB63" s="2835"/>
      <c r="AC63" s="2835"/>
      <c r="AD63" s="2835"/>
      <c r="AE63" s="2835"/>
      <c r="AF63" s="2835"/>
      <c r="AG63" s="2835"/>
      <c r="AH63" s="2835"/>
      <c r="AI63" s="2835"/>
      <c r="AJ63" s="2835"/>
      <c r="AK63" s="2835"/>
      <c r="AL63" s="2835"/>
      <c r="AM63" s="2835"/>
      <c r="AN63" s="2835"/>
      <c r="AO63" s="2835"/>
      <c r="AP63" s="2835"/>
      <c r="AQ63" s="2835"/>
      <c r="AR63" s="2835"/>
      <c r="AS63" s="2835"/>
      <c r="AT63" s="2835"/>
      <c r="AU63" s="2835"/>
      <c r="AV63" s="2835"/>
      <c r="AW63" s="2836"/>
      <c r="AX63" s="1763"/>
      <c r="AY63" s="1763"/>
      <c r="AZ63" s="1763"/>
      <c r="BA63" s="1763"/>
      <c r="BB63" s="1763"/>
      <c r="BC63" s="1763"/>
      <c r="BD63" s="1763"/>
      <c r="BE63" s="1769"/>
    </row>
    <row r="64" spans="1:58" ht="15.75" customHeight="1" thickBot="1">
      <c r="A64" s="1763"/>
      <c r="B64" s="2838" t="str">
        <f t="shared" si="5"/>
        <v/>
      </c>
      <c r="C64" s="2839"/>
      <c r="D64" s="2839"/>
      <c r="E64" s="2839"/>
      <c r="F64" s="2839"/>
      <c r="G64" s="2839"/>
      <c r="H64" s="2839"/>
      <c r="I64" s="2840"/>
      <c r="J64" s="2841"/>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97" t="s">
        <v>2031</v>
      </c>
      <c r="C68" s="2698"/>
      <c r="D68" s="2698"/>
      <c r="E68" s="2698"/>
      <c r="F68" s="2698"/>
      <c r="G68" s="2698"/>
      <c r="H68" s="2698"/>
      <c r="I68" s="2698"/>
      <c r="J68" s="2698"/>
      <c r="K68" s="2698"/>
      <c r="L68" s="2698"/>
      <c r="M68" s="2698"/>
      <c r="N68" s="2698"/>
      <c r="O68" s="2698"/>
      <c r="P68" s="2698"/>
      <c r="Q68" s="2698"/>
      <c r="R68" s="2698"/>
      <c r="S68" s="2698"/>
      <c r="T68" s="2698"/>
      <c r="U68" s="2698"/>
      <c r="V68" s="2698"/>
      <c r="W68" s="2698"/>
      <c r="X68" s="2698"/>
      <c r="Y68" s="2698"/>
      <c r="Z68" s="2698"/>
      <c r="AA68" s="2699"/>
      <c r="AB68" s="1763"/>
      <c r="AC68" s="2796" t="s">
        <v>2032</v>
      </c>
      <c r="AD68" s="2797"/>
      <c r="AE68" s="2797"/>
      <c r="AF68" s="2797"/>
      <c r="AG68" s="2797"/>
      <c r="AH68" s="2797"/>
      <c r="AI68" s="2797"/>
      <c r="AJ68" s="2797"/>
      <c r="AK68" s="2797"/>
      <c r="AL68" s="2797"/>
      <c r="AM68" s="2797"/>
      <c r="AN68" s="2797"/>
      <c r="AO68" s="2797"/>
      <c r="AP68" s="2797"/>
      <c r="AQ68" s="2797"/>
      <c r="AR68" s="2797"/>
      <c r="AS68" s="2797"/>
      <c r="AT68" s="2797"/>
      <c r="AU68" s="2797"/>
      <c r="AV68" s="2829" t="s">
        <v>1989</v>
      </c>
      <c r="AW68" s="2829"/>
      <c r="AX68" s="2829"/>
      <c r="AY68" s="2829"/>
      <c r="AZ68" s="2829"/>
      <c r="BA68" s="2829"/>
      <c r="BB68" s="2829"/>
      <c r="BC68" s="2830"/>
      <c r="BD68" s="1763"/>
      <c r="BE68" s="1769"/>
    </row>
    <row r="69" spans="1:57" ht="15.75" customHeight="1" thickBot="1">
      <c r="A69" s="1763"/>
      <c r="B69" s="2831" t="s">
        <v>2033</v>
      </c>
      <c r="C69" s="2804"/>
      <c r="D69" s="2804"/>
      <c r="E69" s="2804"/>
      <c r="F69" s="2804"/>
      <c r="G69" s="2804"/>
      <c r="H69" s="2804"/>
      <c r="I69" s="2804"/>
      <c r="J69" s="2804"/>
      <c r="K69" s="2804"/>
      <c r="L69" s="2804"/>
      <c r="M69" s="2804"/>
      <c r="N69" s="2804"/>
      <c r="O69" s="2832" t="s">
        <v>2034</v>
      </c>
      <c r="P69" s="2629"/>
      <c r="Q69" s="2629"/>
      <c r="R69" s="2629"/>
      <c r="S69" s="2629"/>
      <c r="T69" s="2629"/>
      <c r="U69" s="2629"/>
      <c r="V69" s="2629"/>
      <c r="W69" s="2629"/>
      <c r="X69" s="2629"/>
      <c r="Y69" s="2629"/>
      <c r="Z69" s="2629"/>
      <c r="AA69" s="2630"/>
      <c r="AB69" s="1763"/>
      <c r="AC69" s="2571" t="s">
        <v>2035</v>
      </c>
      <c r="AD69" s="2572"/>
      <c r="AE69" s="2572"/>
      <c r="AF69" s="2572"/>
      <c r="AG69" s="2572"/>
      <c r="AH69" s="2572"/>
      <c r="AI69" s="2572"/>
      <c r="AJ69" s="2572"/>
      <c r="AK69" s="2572"/>
      <c r="AL69" s="2572"/>
      <c r="AM69" s="2572"/>
      <c r="AN69" s="2572"/>
      <c r="AO69" s="2572"/>
      <c r="AP69" s="2572"/>
      <c r="AQ69" s="2572"/>
      <c r="AR69" s="2572"/>
      <c r="AS69" s="2572"/>
      <c r="AT69" s="2572"/>
      <c r="AU69" s="2572"/>
      <c r="AV69" s="2676">
        <v>44563</v>
      </c>
      <c r="AW69" s="2675"/>
      <c r="AX69" s="2675"/>
      <c r="AY69" s="2675"/>
      <c r="AZ69" s="2675"/>
      <c r="BA69" s="2675"/>
      <c r="BB69" s="2675"/>
      <c r="BC69" s="2833"/>
      <c r="BD69" s="1763"/>
      <c r="BE69" s="1769"/>
    </row>
    <row r="70" spans="1:57" ht="15.75" customHeight="1">
      <c r="A70" s="1763"/>
      <c r="B70" s="2825"/>
      <c r="C70" s="2826"/>
      <c r="D70" s="2826"/>
      <c r="E70" s="2826"/>
      <c r="F70" s="2826"/>
      <c r="G70" s="2826"/>
      <c r="H70" s="2826"/>
      <c r="I70" s="2826"/>
      <c r="J70" s="2826"/>
      <c r="K70" s="2826"/>
      <c r="L70" s="2826"/>
      <c r="M70" s="2826"/>
      <c r="N70" s="2826"/>
      <c r="O70" s="2815">
        <v>1</v>
      </c>
      <c r="P70" s="2815"/>
      <c r="Q70" s="2815"/>
      <c r="R70" s="2815"/>
      <c r="S70" s="2815"/>
      <c r="T70" s="2815"/>
      <c r="U70" s="2815"/>
      <c r="V70" s="2815"/>
      <c r="W70" s="2815"/>
      <c r="X70" s="2815"/>
      <c r="Y70" s="2815"/>
      <c r="Z70" s="2815"/>
      <c r="AA70" s="2816"/>
      <c r="AB70" s="1763"/>
      <c r="AC70" s="2827" t="s">
        <v>2036</v>
      </c>
      <c r="AD70" s="2828"/>
      <c r="AE70" s="2828"/>
      <c r="AF70" s="2783"/>
      <c r="AG70" s="2783"/>
      <c r="AH70" s="2783"/>
      <c r="AI70" s="2783"/>
      <c r="AJ70" s="2783"/>
      <c r="AK70" s="2783"/>
      <c r="AL70" s="2783"/>
      <c r="AM70" s="2783"/>
      <c r="AN70" s="2783"/>
      <c r="AO70" s="2783"/>
      <c r="AP70" s="2783"/>
      <c r="AQ70" s="2783"/>
      <c r="AR70" s="2783"/>
      <c r="AS70" s="2783"/>
      <c r="AT70" s="2783"/>
      <c r="AU70" s="2784"/>
      <c r="AV70" s="1763"/>
      <c r="AW70" s="1763"/>
      <c r="AX70" s="1763"/>
      <c r="AY70" s="1763"/>
      <c r="AZ70" s="1763"/>
      <c r="BA70" s="1763"/>
      <c r="BB70" s="1763"/>
      <c r="BC70" s="1763"/>
      <c r="BD70" s="1763"/>
      <c r="BE70" s="1769"/>
    </row>
    <row r="71" spans="1:57" ht="15.75" customHeight="1" thickBot="1">
      <c r="A71" s="1763"/>
      <c r="B71" s="2814"/>
      <c r="C71" s="2643"/>
      <c r="D71" s="2643"/>
      <c r="E71" s="2643"/>
      <c r="F71" s="2643"/>
      <c r="G71" s="2643"/>
      <c r="H71" s="2643"/>
      <c r="I71" s="2643"/>
      <c r="J71" s="2643"/>
      <c r="K71" s="2643"/>
      <c r="L71" s="2643"/>
      <c r="M71" s="2643"/>
      <c r="N71" s="2643"/>
      <c r="O71" s="2815"/>
      <c r="P71" s="2815"/>
      <c r="Q71" s="2815"/>
      <c r="R71" s="2815"/>
      <c r="S71" s="2815"/>
      <c r="T71" s="2815"/>
      <c r="U71" s="2815"/>
      <c r="V71" s="2815"/>
      <c r="W71" s="2815"/>
      <c r="X71" s="2815"/>
      <c r="Y71" s="2815"/>
      <c r="Z71" s="2815"/>
      <c r="AA71" s="2816"/>
      <c r="AB71" s="1763"/>
      <c r="AC71" s="2579" t="s">
        <v>2037</v>
      </c>
      <c r="AD71" s="2580"/>
      <c r="AE71" s="2580"/>
      <c r="AF71" s="2780"/>
      <c r="AG71" s="2780"/>
      <c r="AH71" s="2780"/>
      <c r="AI71" s="2780"/>
      <c r="AJ71" s="2780"/>
      <c r="AK71" s="2780"/>
      <c r="AL71" s="2780"/>
      <c r="AM71" s="2780"/>
      <c r="AN71" s="2780"/>
      <c r="AO71" s="2780"/>
      <c r="AP71" s="2780"/>
      <c r="AQ71" s="2780"/>
      <c r="AR71" s="2780"/>
      <c r="AS71" s="2780"/>
      <c r="AT71" s="2780"/>
      <c r="AU71" s="2781"/>
      <c r="AV71" s="1763"/>
      <c r="AW71" s="1763"/>
      <c r="AX71" s="1763"/>
      <c r="AY71" s="1763"/>
      <c r="AZ71" s="1763"/>
      <c r="BA71" s="1763"/>
      <c r="BB71" s="1763"/>
      <c r="BC71" s="1763"/>
      <c r="BD71" s="1763"/>
      <c r="BE71" s="1769"/>
    </row>
    <row r="72" spans="1:57" ht="15.75" customHeight="1">
      <c r="A72" s="1763"/>
      <c r="B72" s="2814"/>
      <c r="C72" s="2643"/>
      <c r="D72" s="2643"/>
      <c r="E72" s="2643"/>
      <c r="F72" s="2643"/>
      <c r="G72" s="2643"/>
      <c r="H72" s="2643"/>
      <c r="I72" s="2643"/>
      <c r="J72" s="2643"/>
      <c r="K72" s="2643"/>
      <c r="L72" s="2643"/>
      <c r="M72" s="2643"/>
      <c r="N72" s="2643"/>
      <c r="O72" s="2815"/>
      <c r="P72" s="2815"/>
      <c r="Q72" s="2815"/>
      <c r="R72" s="2815"/>
      <c r="S72" s="2815"/>
      <c r="T72" s="2815"/>
      <c r="U72" s="2815"/>
      <c r="V72" s="2815"/>
      <c r="W72" s="2815"/>
      <c r="X72" s="2815"/>
      <c r="Y72" s="2815"/>
      <c r="Z72" s="2815"/>
      <c r="AA72" s="2816"/>
      <c r="AB72" s="1763"/>
      <c r="AC72" s="2817" t="s">
        <v>2038</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763"/>
      <c r="BE72" s="1769"/>
    </row>
    <row r="73" spans="1:57" ht="15.75" customHeight="1">
      <c r="A73" s="1763"/>
      <c r="B73" s="2814"/>
      <c r="C73" s="2643"/>
      <c r="D73" s="2643"/>
      <c r="E73" s="2643"/>
      <c r="F73" s="2643"/>
      <c r="G73" s="2643"/>
      <c r="H73" s="2643"/>
      <c r="I73" s="2643"/>
      <c r="J73" s="2643"/>
      <c r="K73" s="2643"/>
      <c r="L73" s="2643"/>
      <c r="M73" s="2643"/>
      <c r="N73" s="2643"/>
      <c r="O73" s="2815"/>
      <c r="P73" s="2815"/>
      <c r="Q73" s="2815"/>
      <c r="R73" s="2815"/>
      <c r="S73" s="2815"/>
      <c r="T73" s="2815"/>
      <c r="U73" s="2815"/>
      <c r="V73" s="2815"/>
      <c r="W73" s="2815"/>
      <c r="X73" s="2815"/>
      <c r="Y73" s="2815"/>
      <c r="Z73" s="2815"/>
      <c r="AA73" s="2816"/>
      <c r="AB73" s="1763"/>
      <c r="AC73" s="2760" t="s">
        <v>2457</v>
      </c>
      <c r="AD73" s="2761"/>
      <c r="AE73" s="2761"/>
      <c r="AF73" s="2761"/>
      <c r="AG73" s="2761"/>
      <c r="AH73" s="2761"/>
      <c r="AI73" s="2761"/>
      <c r="AJ73" s="2761"/>
      <c r="AK73" s="2761"/>
      <c r="AL73" s="2761"/>
      <c r="AM73" s="2761"/>
      <c r="AN73" s="2761"/>
      <c r="AO73" s="2761"/>
      <c r="AP73" s="2761"/>
      <c r="AQ73" s="2761"/>
      <c r="AR73" s="2761"/>
      <c r="AS73" s="2761"/>
      <c r="AT73" s="2761"/>
      <c r="AU73" s="2761"/>
      <c r="AV73" s="2761"/>
      <c r="AW73" s="2761"/>
      <c r="AX73" s="2761"/>
      <c r="AY73" s="2761"/>
      <c r="AZ73" s="2761"/>
      <c r="BA73" s="2761"/>
      <c r="BB73" s="2761"/>
      <c r="BC73" s="2762"/>
      <c r="BD73" s="1763"/>
      <c r="BE73" s="1769"/>
    </row>
    <row r="74" spans="1:57" ht="15.75" customHeight="1" thickBot="1">
      <c r="A74" s="1763"/>
      <c r="B74" s="2814"/>
      <c r="C74" s="2643"/>
      <c r="D74" s="2643"/>
      <c r="E74" s="2643"/>
      <c r="F74" s="2643"/>
      <c r="G74" s="2643"/>
      <c r="H74" s="2643"/>
      <c r="I74" s="2643"/>
      <c r="J74" s="2643"/>
      <c r="K74" s="2643"/>
      <c r="L74" s="2643"/>
      <c r="M74" s="2643"/>
      <c r="N74" s="2643"/>
      <c r="O74" s="2818"/>
      <c r="P74" s="2818"/>
      <c r="Q74" s="2818"/>
      <c r="R74" s="2818"/>
      <c r="S74" s="2818"/>
      <c r="T74" s="2818"/>
      <c r="U74" s="2818"/>
      <c r="V74" s="2818"/>
      <c r="W74" s="2818"/>
      <c r="X74" s="2818"/>
      <c r="Y74" s="2818"/>
      <c r="Z74" s="2818"/>
      <c r="AA74" s="2819"/>
      <c r="AB74" s="1763"/>
      <c r="AC74" s="2760"/>
      <c r="AD74" s="2761"/>
      <c r="AE74" s="2761"/>
      <c r="AF74" s="2761"/>
      <c r="AG74" s="2761"/>
      <c r="AH74" s="2761"/>
      <c r="AI74" s="2761"/>
      <c r="AJ74" s="2761"/>
      <c r="AK74" s="2761"/>
      <c r="AL74" s="2761"/>
      <c r="AM74" s="2761"/>
      <c r="AN74" s="2761"/>
      <c r="AO74" s="2761"/>
      <c r="AP74" s="2761"/>
      <c r="AQ74" s="2761"/>
      <c r="AR74" s="2761"/>
      <c r="AS74" s="2761"/>
      <c r="AT74" s="2761"/>
      <c r="AU74" s="2761"/>
      <c r="AV74" s="2761"/>
      <c r="AW74" s="2761"/>
      <c r="AX74" s="2761"/>
      <c r="AY74" s="2761"/>
      <c r="AZ74" s="2761"/>
      <c r="BA74" s="2761"/>
      <c r="BB74" s="2761"/>
      <c r="BC74" s="2762"/>
      <c r="BD74" s="1763"/>
      <c r="BE74" s="1769"/>
    </row>
    <row r="75" spans="1:57" ht="15.75" customHeight="1" thickTop="1" thickBot="1">
      <c r="A75" s="1763"/>
      <c r="B75" s="2820" t="s">
        <v>129</v>
      </c>
      <c r="C75" s="2821"/>
      <c r="D75" s="2821"/>
      <c r="E75" s="2821"/>
      <c r="F75" s="2821"/>
      <c r="G75" s="2821"/>
      <c r="H75" s="2821"/>
      <c r="I75" s="2821"/>
      <c r="J75" s="2821"/>
      <c r="K75" s="2821"/>
      <c r="L75" s="2821"/>
      <c r="M75" s="2821"/>
      <c r="N75" s="2821"/>
      <c r="O75" s="2822">
        <f>SUM(O70:AA74)</f>
        <v>1</v>
      </c>
      <c r="P75" s="2823"/>
      <c r="Q75" s="2823"/>
      <c r="R75" s="2823"/>
      <c r="S75" s="2823"/>
      <c r="T75" s="2823"/>
      <c r="U75" s="2823"/>
      <c r="V75" s="2823"/>
      <c r="W75" s="2823"/>
      <c r="X75" s="2823"/>
      <c r="Y75" s="2823"/>
      <c r="Z75" s="2823"/>
      <c r="AA75" s="2824"/>
      <c r="AB75" s="1763"/>
      <c r="AC75" s="2760"/>
      <c r="AD75" s="2761"/>
      <c r="AE75" s="2761"/>
      <c r="AF75" s="2761"/>
      <c r="AG75" s="2761"/>
      <c r="AH75" s="2761"/>
      <c r="AI75" s="2761"/>
      <c r="AJ75" s="2761"/>
      <c r="AK75" s="2761"/>
      <c r="AL75" s="2761"/>
      <c r="AM75" s="2761"/>
      <c r="AN75" s="2761"/>
      <c r="AO75" s="2761"/>
      <c r="AP75" s="2761"/>
      <c r="AQ75" s="2761"/>
      <c r="AR75" s="2761"/>
      <c r="AS75" s="2761"/>
      <c r="AT75" s="2761"/>
      <c r="AU75" s="2761"/>
      <c r="AV75" s="2761"/>
      <c r="AW75" s="2761"/>
      <c r="AX75" s="2761"/>
      <c r="AY75" s="2761"/>
      <c r="AZ75" s="2761"/>
      <c r="BA75" s="2761"/>
      <c r="BB75" s="2761"/>
      <c r="BC75" s="2762"/>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0"/>
      <c r="AD76" s="2761"/>
      <c r="AE76" s="2761"/>
      <c r="AF76" s="2761"/>
      <c r="AG76" s="2761"/>
      <c r="AH76" s="2761"/>
      <c r="AI76" s="2761"/>
      <c r="AJ76" s="2761"/>
      <c r="AK76" s="2761"/>
      <c r="AL76" s="2761"/>
      <c r="AM76" s="2761"/>
      <c r="AN76" s="2761"/>
      <c r="AO76" s="2761"/>
      <c r="AP76" s="2761"/>
      <c r="AQ76" s="2761"/>
      <c r="AR76" s="2761"/>
      <c r="AS76" s="2761"/>
      <c r="AT76" s="2761"/>
      <c r="AU76" s="2761"/>
      <c r="AV76" s="2761"/>
      <c r="AW76" s="2761"/>
      <c r="AX76" s="2761"/>
      <c r="AY76" s="2761"/>
      <c r="AZ76" s="2761"/>
      <c r="BA76" s="2761"/>
      <c r="BB76" s="2761"/>
      <c r="BC76" s="2762"/>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3"/>
      <c r="AD77" s="2764"/>
      <c r="AE77" s="2764"/>
      <c r="AF77" s="2764"/>
      <c r="AG77" s="2764"/>
      <c r="AH77" s="2764"/>
      <c r="AI77" s="2764"/>
      <c r="AJ77" s="2764"/>
      <c r="AK77" s="2764"/>
      <c r="AL77" s="2764"/>
      <c r="AM77" s="2764"/>
      <c r="AN77" s="2764"/>
      <c r="AO77" s="2764"/>
      <c r="AP77" s="2764"/>
      <c r="AQ77" s="2764"/>
      <c r="AR77" s="2764"/>
      <c r="AS77" s="2764"/>
      <c r="AT77" s="2764"/>
      <c r="AU77" s="2764"/>
      <c r="AV77" s="2764"/>
      <c r="AW77" s="2764"/>
      <c r="AX77" s="2764"/>
      <c r="AY77" s="2764"/>
      <c r="AZ77" s="2764"/>
      <c r="BA77" s="2764"/>
      <c r="BB77" s="2764"/>
      <c r="BC77" s="2765"/>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0" t="s">
        <v>2434</v>
      </c>
      <c r="C79" s="2811"/>
      <c r="D79" s="2811"/>
      <c r="E79" s="2811"/>
      <c r="F79" s="2811"/>
      <c r="G79" s="2811"/>
      <c r="H79" s="2811"/>
      <c r="I79" s="2811"/>
      <c r="J79" s="2811"/>
      <c r="K79" s="2811"/>
      <c r="L79" s="2811"/>
      <c r="M79" s="2811"/>
      <c r="N79" s="2811"/>
      <c r="O79" s="2811"/>
      <c r="P79" s="2811"/>
      <c r="Q79" s="2811"/>
      <c r="R79" s="2811"/>
      <c r="S79" s="2811"/>
      <c r="T79" s="2811"/>
      <c r="U79" s="2811"/>
      <c r="V79" s="2811"/>
      <c r="W79" s="2811"/>
      <c r="X79" s="2811"/>
      <c r="Y79" s="2811"/>
      <c r="Z79" s="2811"/>
      <c r="AA79" s="2811"/>
      <c r="AB79" s="2811"/>
      <c r="AC79" s="2811"/>
      <c r="AD79" s="2811"/>
      <c r="AE79" s="2811"/>
      <c r="AF79" s="2811"/>
      <c r="AG79" s="2811"/>
      <c r="AH79" s="2812"/>
      <c r="AI79" s="1763"/>
      <c r="AJ79" s="2786" t="s">
        <v>2458</v>
      </c>
      <c r="AK79" s="2787"/>
      <c r="AL79" s="2787"/>
      <c r="AM79" s="2787"/>
      <c r="AN79" s="2787"/>
      <c r="AO79" s="2787"/>
      <c r="AP79" s="2787"/>
      <c r="AQ79" s="2787"/>
      <c r="AR79" s="2787"/>
      <c r="AS79" s="2787"/>
      <c r="AT79" s="2787"/>
      <c r="AU79" s="2787"/>
      <c r="AV79" s="2787"/>
      <c r="AW79" s="2787"/>
      <c r="AX79" s="2787"/>
      <c r="AY79" s="2729" t="s">
        <v>1989</v>
      </c>
      <c r="AZ79" s="2729"/>
      <c r="BA79" s="2729"/>
      <c r="BB79" s="2730"/>
      <c r="BC79" s="1763"/>
      <c r="BD79" s="1763"/>
      <c r="BE79" s="1769"/>
    </row>
    <row r="80" spans="1:57" ht="15.75" customHeight="1">
      <c r="A80" s="1763"/>
      <c r="B80" s="2659"/>
      <c r="C80" s="2660"/>
      <c r="D80" s="2660"/>
      <c r="E80" s="2660"/>
      <c r="F80" s="2660"/>
      <c r="G80" s="2660"/>
      <c r="H80" s="2661"/>
      <c r="I80" s="2796" t="s">
        <v>2040</v>
      </c>
      <c r="J80" s="2797"/>
      <c r="K80" s="2797"/>
      <c r="L80" s="2797"/>
      <c r="M80" s="2797"/>
      <c r="N80" s="2797"/>
      <c r="O80" s="2797" t="s">
        <v>2041</v>
      </c>
      <c r="P80" s="2797"/>
      <c r="Q80" s="2797"/>
      <c r="R80" s="2797"/>
      <c r="S80" s="2797"/>
      <c r="T80" s="2797"/>
      <c r="U80" s="2797"/>
      <c r="V80" s="2800" t="s">
        <v>2459</v>
      </c>
      <c r="W80" s="2800"/>
      <c r="X80" s="2800"/>
      <c r="Y80" s="2800"/>
      <c r="Z80" s="2800"/>
      <c r="AA80" s="2800"/>
      <c r="AB80" s="2802" t="s">
        <v>2042</v>
      </c>
      <c r="AC80" s="2802"/>
      <c r="AD80" s="2802"/>
      <c r="AE80" s="2802"/>
      <c r="AF80" s="2802"/>
      <c r="AG80" s="2802"/>
      <c r="AH80" s="2803"/>
      <c r="AI80" s="1763"/>
      <c r="AJ80" s="2788"/>
      <c r="AK80" s="2789"/>
      <c r="AL80" s="2789"/>
      <c r="AM80" s="2789"/>
      <c r="AN80" s="2789"/>
      <c r="AO80" s="2789"/>
      <c r="AP80" s="2789"/>
      <c r="AQ80" s="2789"/>
      <c r="AR80" s="2789"/>
      <c r="AS80" s="2789"/>
      <c r="AT80" s="2789"/>
      <c r="AU80" s="2789"/>
      <c r="AV80" s="2789"/>
      <c r="AW80" s="2789"/>
      <c r="AX80" s="2789"/>
      <c r="AY80" s="2792"/>
      <c r="AZ80" s="2792"/>
      <c r="BA80" s="2792"/>
      <c r="BB80" s="2793"/>
      <c r="BC80" s="1763"/>
      <c r="BD80" s="1763"/>
      <c r="BE80" s="1769"/>
    </row>
    <row r="81" spans="1:57" ht="15.75" customHeight="1" thickBot="1">
      <c r="A81" s="1763"/>
      <c r="B81" s="2711"/>
      <c r="C81" s="2712"/>
      <c r="D81" s="2712"/>
      <c r="E81" s="2712"/>
      <c r="F81" s="2712"/>
      <c r="G81" s="2712"/>
      <c r="H81" s="2813"/>
      <c r="I81" s="2798"/>
      <c r="J81" s="2799"/>
      <c r="K81" s="2799"/>
      <c r="L81" s="2799"/>
      <c r="M81" s="2799"/>
      <c r="N81" s="2799"/>
      <c r="O81" s="2799"/>
      <c r="P81" s="2799"/>
      <c r="Q81" s="2799"/>
      <c r="R81" s="2799"/>
      <c r="S81" s="2799"/>
      <c r="T81" s="2799"/>
      <c r="U81" s="2799"/>
      <c r="V81" s="2801"/>
      <c r="W81" s="2801"/>
      <c r="X81" s="2801"/>
      <c r="Y81" s="2801"/>
      <c r="Z81" s="2801"/>
      <c r="AA81" s="2801"/>
      <c r="AB81" s="2804"/>
      <c r="AC81" s="2804"/>
      <c r="AD81" s="2804"/>
      <c r="AE81" s="2804"/>
      <c r="AF81" s="2804"/>
      <c r="AG81" s="2804"/>
      <c r="AH81" s="2805"/>
      <c r="AI81" s="1763"/>
      <c r="AJ81" s="2788"/>
      <c r="AK81" s="2789"/>
      <c r="AL81" s="2789"/>
      <c r="AM81" s="2789"/>
      <c r="AN81" s="2789"/>
      <c r="AO81" s="2789"/>
      <c r="AP81" s="2789"/>
      <c r="AQ81" s="2789"/>
      <c r="AR81" s="2789"/>
      <c r="AS81" s="2789"/>
      <c r="AT81" s="2789"/>
      <c r="AU81" s="2789"/>
      <c r="AV81" s="2789"/>
      <c r="AW81" s="2789"/>
      <c r="AX81" s="2789"/>
      <c r="AY81" s="2792"/>
      <c r="AZ81" s="2792"/>
      <c r="BA81" s="2792"/>
      <c r="BB81" s="2793"/>
      <c r="BC81" s="1763"/>
      <c r="BD81" s="1763"/>
      <c r="BE81" s="1769"/>
    </row>
    <row r="82" spans="1:57" ht="15.75" customHeight="1" thickBot="1">
      <c r="A82" s="1763"/>
      <c r="B82" s="2653" t="s">
        <v>2435</v>
      </c>
      <c r="C82" s="2654"/>
      <c r="D82" s="2654"/>
      <c r="E82" s="2654"/>
      <c r="F82" s="2654"/>
      <c r="G82" s="2654"/>
      <c r="H82" s="2655"/>
      <c r="I82" s="2785"/>
      <c r="J82" s="2767"/>
      <c r="K82" s="2767"/>
      <c r="L82" s="2767"/>
      <c r="M82" s="2767"/>
      <c r="N82" s="2767"/>
      <c r="O82" s="2767"/>
      <c r="P82" s="2767"/>
      <c r="Q82" s="2767"/>
      <c r="R82" s="2767"/>
      <c r="S82" s="2767"/>
      <c r="T82" s="2767"/>
      <c r="U82" s="2767"/>
      <c r="V82" s="2767"/>
      <c r="W82" s="2767"/>
      <c r="X82" s="2767"/>
      <c r="Y82" s="2767"/>
      <c r="Z82" s="2767"/>
      <c r="AA82" s="2782"/>
      <c r="AB82" s="2808"/>
      <c r="AC82" s="2808"/>
      <c r="AD82" s="2808"/>
      <c r="AE82" s="2808"/>
      <c r="AF82" s="2808"/>
      <c r="AG82" s="2808"/>
      <c r="AH82" s="2809"/>
      <c r="AI82" s="1763"/>
      <c r="AJ82" s="2790"/>
      <c r="AK82" s="2791"/>
      <c r="AL82" s="2791"/>
      <c r="AM82" s="2791"/>
      <c r="AN82" s="2791"/>
      <c r="AO82" s="2791"/>
      <c r="AP82" s="2791"/>
      <c r="AQ82" s="2791"/>
      <c r="AR82" s="2791"/>
      <c r="AS82" s="2791"/>
      <c r="AT82" s="2791"/>
      <c r="AU82" s="2791"/>
      <c r="AV82" s="2791"/>
      <c r="AW82" s="2791"/>
      <c r="AX82" s="2791"/>
      <c r="AY82" s="2794"/>
      <c r="AZ82" s="2794"/>
      <c r="BA82" s="2794"/>
      <c r="BB82" s="2795"/>
      <c r="BC82" s="1763"/>
      <c r="BD82" s="1763"/>
      <c r="BE82" s="1769"/>
    </row>
    <row r="83" spans="1:57" ht="15.75" customHeight="1" thickBot="1">
      <c r="A83" s="1763"/>
      <c r="B83" s="2653" t="s">
        <v>2436</v>
      </c>
      <c r="C83" s="2654"/>
      <c r="D83" s="2654"/>
      <c r="E83" s="2654"/>
      <c r="F83" s="2654"/>
      <c r="G83" s="2654"/>
      <c r="H83" s="2655"/>
      <c r="I83" s="2785"/>
      <c r="J83" s="2767"/>
      <c r="K83" s="2767"/>
      <c r="L83" s="2767"/>
      <c r="M83" s="2767"/>
      <c r="N83" s="2767"/>
      <c r="O83" s="2767"/>
      <c r="P83" s="2767"/>
      <c r="Q83" s="2767"/>
      <c r="R83" s="2767"/>
      <c r="S83" s="2767"/>
      <c r="T83" s="2767"/>
      <c r="U83" s="2767"/>
      <c r="V83" s="2767"/>
      <c r="W83" s="2767"/>
      <c r="X83" s="2767"/>
      <c r="Y83" s="2767"/>
      <c r="Z83" s="2767"/>
      <c r="AA83" s="2782"/>
      <c r="AB83" s="2808"/>
      <c r="AC83" s="2808"/>
      <c r="AD83" s="2808"/>
      <c r="AE83" s="2808"/>
      <c r="AF83" s="2808"/>
      <c r="AG83" s="2808"/>
      <c r="AH83" s="2809"/>
      <c r="AI83" s="1763"/>
      <c r="AJ83" s="2769" t="s">
        <v>2460</v>
      </c>
      <c r="AK83" s="2770"/>
      <c r="AL83" s="2770"/>
      <c r="AM83" s="2770"/>
      <c r="AN83" s="2770"/>
      <c r="AO83" s="2770"/>
      <c r="AP83" s="2770"/>
      <c r="AQ83" s="2770"/>
      <c r="AR83" s="2770"/>
      <c r="AS83" s="2770"/>
      <c r="AT83" s="2770"/>
      <c r="AU83" s="2770"/>
      <c r="AV83" s="2770"/>
      <c r="AW83" s="2770"/>
      <c r="AX83" s="2770"/>
      <c r="AY83" s="2770"/>
      <c r="AZ83" s="2770"/>
      <c r="BA83" s="2770"/>
      <c r="BB83" s="2771"/>
      <c r="BC83" s="1763"/>
      <c r="BD83" s="1763"/>
      <c r="BE83" s="1769"/>
    </row>
    <row r="84" spans="1:57" ht="15.75" customHeight="1" thickBot="1">
      <c r="A84" s="1763"/>
      <c r="B84" s="2775" t="s">
        <v>2043</v>
      </c>
      <c r="C84" s="2776"/>
      <c r="D84" s="2776"/>
      <c r="E84" s="2776"/>
      <c r="F84" s="2776"/>
      <c r="G84" s="2776"/>
      <c r="H84" s="2806"/>
      <c r="I84" s="2778"/>
      <c r="J84" s="2748"/>
      <c r="K84" s="2748"/>
      <c r="L84" s="2748"/>
      <c r="M84" s="2748"/>
      <c r="N84" s="2748"/>
      <c r="O84" s="2748"/>
      <c r="P84" s="2748"/>
      <c r="Q84" s="2748"/>
      <c r="R84" s="2748"/>
      <c r="S84" s="2748"/>
      <c r="T84" s="2748"/>
      <c r="U84" s="2748"/>
      <c r="V84" s="2748"/>
      <c r="W84" s="2748"/>
      <c r="X84" s="2748"/>
      <c r="Y84" s="2748"/>
      <c r="Z84" s="2748"/>
      <c r="AA84" s="2779"/>
      <c r="AB84" s="2748"/>
      <c r="AC84" s="2748"/>
      <c r="AD84" s="2748"/>
      <c r="AE84" s="2748"/>
      <c r="AF84" s="2748"/>
      <c r="AG84" s="2748"/>
      <c r="AH84" s="2807"/>
      <c r="AI84" s="1763"/>
      <c r="AJ84" s="2772"/>
      <c r="AK84" s="2773"/>
      <c r="AL84" s="2773"/>
      <c r="AM84" s="2773"/>
      <c r="AN84" s="2773"/>
      <c r="AO84" s="2773"/>
      <c r="AP84" s="2773"/>
      <c r="AQ84" s="2773"/>
      <c r="AR84" s="2773"/>
      <c r="AS84" s="2773"/>
      <c r="AT84" s="2773"/>
      <c r="AU84" s="2773"/>
      <c r="AV84" s="2773"/>
      <c r="AW84" s="2773"/>
      <c r="AX84" s="2773"/>
      <c r="AY84" s="2773"/>
      <c r="AZ84" s="2773"/>
      <c r="BA84" s="2773"/>
      <c r="BB84" s="2774"/>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59" t="s">
        <v>2045</v>
      </c>
      <c r="C88" s="2660"/>
      <c r="D88" s="2660"/>
      <c r="E88" s="2660"/>
      <c r="F88" s="2660"/>
      <c r="G88" s="2660"/>
      <c r="H88" s="2660"/>
      <c r="I88" s="2660"/>
      <c r="J88" s="2660"/>
      <c r="K88" s="2660"/>
      <c r="L88" s="2660"/>
      <c r="M88" s="2660"/>
      <c r="N88" s="2660"/>
      <c r="O88" s="2660"/>
      <c r="P88" s="2660"/>
      <c r="Q88" s="2660"/>
      <c r="R88" s="2660"/>
      <c r="S88" s="2660"/>
      <c r="T88" s="2660"/>
      <c r="U88" s="2660"/>
      <c r="V88" s="2660"/>
      <c r="W88" s="2660"/>
      <c r="X88" s="2660"/>
      <c r="Y88" s="2660"/>
      <c r="Z88" s="2660"/>
      <c r="AA88" s="2660"/>
      <c r="AB88" s="2660"/>
      <c r="AC88" s="2660"/>
      <c r="AD88" s="2660"/>
      <c r="AE88" s="2660"/>
      <c r="AF88" s="2660"/>
      <c r="AG88" s="2660"/>
      <c r="AH88" s="2661"/>
      <c r="AI88" s="1763"/>
      <c r="AJ88" s="2786" t="s">
        <v>2461</v>
      </c>
      <c r="AK88" s="2787"/>
      <c r="AL88" s="2787"/>
      <c r="AM88" s="2787"/>
      <c r="AN88" s="2787"/>
      <c r="AO88" s="2787"/>
      <c r="AP88" s="2787"/>
      <c r="AQ88" s="2787"/>
      <c r="AR88" s="2787"/>
      <c r="AS88" s="2787"/>
      <c r="AT88" s="2787"/>
      <c r="AU88" s="2787"/>
      <c r="AV88" s="2787"/>
      <c r="AW88" s="2787"/>
      <c r="AX88" s="2787"/>
      <c r="AY88" s="2729" t="s">
        <v>1989</v>
      </c>
      <c r="AZ88" s="2729"/>
      <c r="BA88" s="2729"/>
      <c r="BB88" s="2730"/>
      <c r="BC88" s="1763"/>
      <c r="BD88" s="1763"/>
      <c r="BE88" s="1769"/>
    </row>
    <row r="89" spans="1:57" ht="16.5" customHeight="1">
      <c r="A89" s="1763"/>
      <c r="B89" s="2659"/>
      <c r="C89" s="2660"/>
      <c r="D89" s="2660"/>
      <c r="E89" s="2660"/>
      <c r="F89" s="2660"/>
      <c r="G89" s="2660"/>
      <c r="H89" s="2660"/>
      <c r="I89" s="2796" t="s">
        <v>2040</v>
      </c>
      <c r="J89" s="2797"/>
      <c r="K89" s="2797"/>
      <c r="L89" s="2797"/>
      <c r="M89" s="2797"/>
      <c r="N89" s="2797"/>
      <c r="O89" s="2797" t="s">
        <v>2041</v>
      </c>
      <c r="P89" s="2797"/>
      <c r="Q89" s="2797"/>
      <c r="R89" s="2797"/>
      <c r="S89" s="2797"/>
      <c r="T89" s="2797"/>
      <c r="U89" s="2797"/>
      <c r="V89" s="2800" t="s">
        <v>2459</v>
      </c>
      <c r="W89" s="2800"/>
      <c r="X89" s="2800"/>
      <c r="Y89" s="2800"/>
      <c r="Z89" s="2800"/>
      <c r="AA89" s="2800"/>
      <c r="AB89" s="2802" t="s">
        <v>2042</v>
      </c>
      <c r="AC89" s="2802"/>
      <c r="AD89" s="2802"/>
      <c r="AE89" s="2802"/>
      <c r="AF89" s="2802"/>
      <c r="AG89" s="2802"/>
      <c r="AH89" s="2803"/>
      <c r="AI89" s="1763"/>
      <c r="AJ89" s="2788"/>
      <c r="AK89" s="2789"/>
      <c r="AL89" s="2789"/>
      <c r="AM89" s="2789"/>
      <c r="AN89" s="2789"/>
      <c r="AO89" s="2789"/>
      <c r="AP89" s="2789"/>
      <c r="AQ89" s="2789"/>
      <c r="AR89" s="2789"/>
      <c r="AS89" s="2789"/>
      <c r="AT89" s="2789"/>
      <c r="AU89" s="2789"/>
      <c r="AV89" s="2789"/>
      <c r="AW89" s="2789"/>
      <c r="AX89" s="2789"/>
      <c r="AY89" s="2792"/>
      <c r="AZ89" s="2792"/>
      <c r="BA89" s="2792"/>
      <c r="BB89" s="2793"/>
      <c r="BC89" s="1763"/>
      <c r="BD89" s="1763"/>
      <c r="BE89" s="1769"/>
    </row>
    <row r="90" spans="1:57" ht="16.5" customHeight="1" thickBot="1">
      <c r="A90" s="1763"/>
      <c r="B90" s="2711"/>
      <c r="C90" s="2712"/>
      <c r="D90" s="2712"/>
      <c r="E90" s="2712"/>
      <c r="F90" s="2712"/>
      <c r="G90" s="2712"/>
      <c r="H90" s="2712"/>
      <c r="I90" s="2798"/>
      <c r="J90" s="2799"/>
      <c r="K90" s="2799"/>
      <c r="L90" s="2799"/>
      <c r="M90" s="2799"/>
      <c r="N90" s="2799"/>
      <c r="O90" s="2799"/>
      <c r="P90" s="2799"/>
      <c r="Q90" s="2799"/>
      <c r="R90" s="2799"/>
      <c r="S90" s="2799"/>
      <c r="T90" s="2799"/>
      <c r="U90" s="2799"/>
      <c r="V90" s="2801"/>
      <c r="W90" s="2801"/>
      <c r="X90" s="2801"/>
      <c r="Y90" s="2801"/>
      <c r="Z90" s="2801"/>
      <c r="AA90" s="2801"/>
      <c r="AB90" s="2804"/>
      <c r="AC90" s="2804"/>
      <c r="AD90" s="2804"/>
      <c r="AE90" s="2804"/>
      <c r="AF90" s="2804"/>
      <c r="AG90" s="2804"/>
      <c r="AH90" s="2805"/>
      <c r="AI90" s="1763"/>
      <c r="AJ90" s="2788"/>
      <c r="AK90" s="2789"/>
      <c r="AL90" s="2789"/>
      <c r="AM90" s="2789"/>
      <c r="AN90" s="2789"/>
      <c r="AO90" s="2789"/>
      <c r="AP90" s="2789"/>
      <c r="AQ90" s="2789"/>
      <c r="AR90" s="2789"/>
      <c r="AS90" s="2789"/>
      <c r="AT90" s="2789"/>
      <c r="AU90" s="2789"/>
      <c r="AV90" s="2789"/>
      <c r="AW90" s="2789"/>
      <c r="AX90" s="2789"/>
      <c r="AY90" s="2792"/>
      <c r="AZ90" s="2792"/>
      <c r="BA90" s="2792"/>
      <c r="BB90" s="2793"/>
      <c r="BC90" s="1763"/>
      <c r="BD90" s="1763"/>
      <c r="BE90" s="1769"/>
    </row>
    <row r="91" spans="1:57" ht="15.75" customHeight="1" thickBot="1">
      <c r="A91" s="1763"/>
      <c r="B91" s="2653" t="s">
        <v>2435</v>
      </c>
      <c r="C91" s="2654"/>
      <c r="D91" s="2654"/>
      <c r="E91" s="2654"/>
      <c r="F91" s="2654"/>
      <c r="G91" s="2654"/>
      <c r="H91" s="2654"/>
      <c r="I91" s="2785"/>
      <c r="J91" s="2767"/>
      <c r="K91" s="2767"/>
      <c r="L91" s="2767"/>
      <c r="M91" s="2767"/>
      <c r="N91" s="2767"/>
      <c r="O91" s="2767"/>
      <c r="P91" s="2767"/>
      <c r="Q91" s="2767"/>
      <c r="R91" s="2767"/>
      <c r="S91" s="2767"/>
      <c r="T91" s="2767"/>
      <c r="U91" s="2767"/>
      <c r="V91" s="2767"/>
      <c r="W91" s="2767"/>
      <c r="X91" s="2767"/>
      <c r="Y91" s="2767"/>
      <c r="Z91" s="2767"/>
      <c r="AA91" s="2782"/>
      <c r="AB91" s="2783"/>
      <c r="AC91" s="2783"/>
      <c r="AD91" s="2783"/>
      <c r="AE91" s="2783"/>
      <c r="AF91" s="2783"/>
      <c r="AG91" s="2783"/>
      <c r="AH91" s="2784"/>
      <c r="AI91" s="1763"/>
      <c r="AJ91" s="2790"/>
      <c r="AK91" s="2791"/>
      <c r="AL91" s="2791"/>
      <c r="AM91" s="2791"/>
      <c r="AN91" s="2791"/>
      <c r="AO91" s="2791"/>
      <c r="AP91" s="2791"/>
      <c r="AQ91" s="2791"/>
      <c r="AR91" s="2791"/>
      <c r="AS91" s="2791"/>
      <c r="AT91" s="2791"/>
      <c r="AU91" s="2791"/>
      <c r="AV91" s="2791"/>
      <c r="AW91" s="2791"/>
      <c r="AX91" s="2791"/>
      <c r="AY91" s="2794"/>
      <c r="AZ91" s="2794"/>
      <c r="BA91" s="2794"/>
      <c r="BB91" s="2795"/>
      <c r="BC91" s="1763"/>
      <c r="BD91" s="1763"/>
      <c r="BE91" s="1769"/>
    </row>
    <row r="92" spans="1:57" ht="15.75" customHeight="1" thickBot="1">
      <c r="A92" s="1763"/>
      <c r="B92" s="2653" t="s">
        <v>2436</v>
      </c>
      <c r="C92" s="2654"/>
      <c r="D92" s="2654"/>
      <c r="E92" s="2654"/>
      <c r="F92" s="2654"/>
      <c r="G92" s="2654"/>
      <c r="H92" s="2654"/>
      <c r="I92" s="2785"/>
      <c r="J92" s="2767"/>
      <c r="K92" s="2767"/>
      <c r="L92" s="2767"/>
      <c r="M92" s="2767"/>
      <c r="N92" s="2767"/>
      <c r="O92" s="2767"/>
      <c r="P92" s="2767"/>
      <c r="Q92" s="2767"/>
      <c r="R92" s="2767"/>
      <c r="S92" s="2767"/>
      <c r="T92" s="2767"/>
      <c r="U92" s="2767"/>
      <c r="V92" s="2767"/>
      <c r="W92" s="2767"/>
      <c r="X92" s="2767"/>
      <c r="Y92" s="2767"/>
      <c r="Z92" s="2767"/>
      <c r="AA92" s="2782"/>
      <c r="AB92" s="2783"/>
      <c r="AC92" s="2783"/>
      <c r="AD92" s="2783"/>
      <c r="AE92" s="2783"/>
      <c r="AF92" s="2783"/>
      <c r="AG92" s="2783"/>
      <c r="AH92" s="2784"/>
      <c r="AI92" s="1763"/>
      <c r="AJ92" s="2769" t="s">
        <v>2460</v>
      </c>
      <c r="AK92" s="2770"/>
      <c r="AL92" s="2770"/>
      <c r="AM92" s="2770"/>
      <c r="AN92" s="2770"/>
      <c r="AO92" s="2770"/>
      <c r="AP92" s="2770"/>
      <c r="AQ92" s="2770"/>
      <c r="AR92" s="2770"/>
      <c r="AS92" s="2770"/>
      <c r="AT92" s="2770"/>
      <c r="AU92" s="2770"/>
      <c r="AV92" s="2770"/>
      <c r="AW92" s="2770"/>
      <c r="AX92" s="2770"/>
      <c r="AY92" s="2770"/>
      <c r="AZ92" s="2770"/>
      <c r="BA92" s="2770"/>
      <c r="BB92" s="2771"/>
      <c r="BC92" s="1763"/>
      <c r="BD92" s="1763"/>
      <c r="BE92" s="1769"/>
    </row>
    <row r="93" spans="1:57" ht="15.75" customHeight="1" thickBot="1">
      <c r="A93" s="1763"/>
      <c r="B93" s="2775" t="s">
        <v>2043</v>
      </c>
      <c r="C93" s="2776"/>
      <c r="D93" s="2776"/>
      <c r="E93" s="2776"/>
      <c r="F93" s="2776"/>
      <c r="G93" s="2776"/>
      <c r="H93" s="2777"/>
      <c r="I93" s="2778"/>
      <c r="J93" s="2748"/>
      <c r="K93" s="2748"/>
      <c r="L93" s="2748"/>
      <c r="M93" s="2748"/>
      <c r="N93" s="2748"/>
      <c r="O93" s="2748"/>
      <c r="P93" s="2748"/>
      <c r="Q93" s="2748"/>
      <c r="R93" s="2748"/>
      <c r="S93" s="2748"/>
      <c r="T93" s="2748"/>
      <c r="U93" s="2748"/>
      <c r="V93" s="2748"/>
      <c r="W93" s="2748"/>
      <c r="X93" s="2748"/>
      <c r="Y93" s="2748"/>
      <c r="Z93" s="2748"/>
      <c r="AA93" s="2779"/>
      <c r="AB93" s="2780"/>
      <c r="AC93" s="2780"/>
      <c r="AD93" s="2780"/>
      <c r="AE93" s="2780"/>
      <c r="AF93" s="2780"/>
      <c r="AG93" s="2780"/>
      <c r="AH93" s="2781"/>
      <c r="AI93" s="1763"/>
      <c r="AJ93" s="2772"/>
      <c r="AK93" s="2773"/>
      <c r="AL93" s="2773"/>
      <c r="AM93" s="2773"/>
      <c r="AN93" s="2773"/>
      <c r="AO93" s="2773"/>
      <c r="AP93" s="2773"/>
      <c r="AQ93" s="2773"/>
      <c r="AR93" s="2773"/>
      <c r="AS93" s="2773"/>
      <c r="AT93" s="2773"/>
      <c r="AU93" s="2773"/>
      <c r="AV93" s="2773"/>
      <c r="AW93" s="2773"/>
      <c r="AX93" s="2773"/>
      <c r="AY93" s="2773"/>
      <c r="AZ93" s="2773"/>
      <c r="BA93" s="2773"/>
      <c r="BB93" s="2774"/>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1" t="s">
        <v>2437</v>
      </c>
      <c r="Y96" s="2752"/>
      <c r="Z96" s="2752"/>
      <c r="AA96" s="2752"/>
      <c r="AB96" s="2752"/>
      <c r="AC96" s="2752"/>
      <c r="AD96" s="2752"/>
      <c r="AE96" s="2752"/>
      <c r="AF96" s="2752"/>
      <c r="AG96" s="2752"/>
      <c r="AH96" s="2752"/>
      <c r="AI96" s="2752"/>
      <c r="AJ96" s="2752"/>
      <c r="AK96" s="2752"/>
      <c r="AL96" s="2752"/>
      <c r="AM96" s="2752"/>
      <c r="AN96" s="2752"/>
      <c r="AO96" s="2752"/>
      <c r="AP96" s="2752"/>
      <c r="AQ96" s="2752"/>
      <c r="AR96" s="2752"/>
      <c r="AS96" s="2752"/>
      <c r="AT96" s="2752"/>
      <c r="AU96" s="2752"/>
      <c r="AV96" s="2752"/>
      <c r="AW96" s="2752"/>
      <c r="AX96" s="2752"/>
      <c r="AY96" s="2752"/>
      <c r="AZ96" s="2752"/>
      <c r="BA96" s="2752"/>
      <c r="BB96" s="2752"/>
      <c r="BC96" s="2752"/>
      <c r="BD96" s="2753"/>
      <c r="BE96" s="1769"/>
    </row>
    <row r="97" spans="1:57" ht="15.75" customHeight="1" thickBot="1">
      <c r="A97" s="1763"/>
      <c r="B97" s="2653" t="s">
        <v>1861</v>
      </c>
      <c r="C97" s="2654"/>
      <c r="D97" s="2654"/>
      <c r="E97" s="2654"/>
      <c r="F97" s="2654"/>
      <c r="G97" s="2654"/>
      <c r="H97" s="2654"/>
      <c r="I97" s="2654"/>
      <c r="J97" s="2654"/>
      <c r="K97" s="2654"/>
      <c r="L97" s="2654"/>
      <c r="M97" s="2654"/>
      <c r="N97" s="2654"/>
      <c r="O97" s="2654"/>
      <c r="P97" s="2654"/>
      <c r="Q97" s="2654"/>
      <c r="R97" s="2654"/>
      <c r="S97" s="2654"/>
      <c r="T97" s="2654"/>
      <c r="U97" s="2655"/>
      <c r="V97" s="1763"/>
      <c r="W97" s="1763"/>
      <c r="X97" s="2754"/>
      <c r="Y97" s="2755"/>
      <c r="Z97" s="2755"/>
      <c r="AA97" s="2755"/>
      <c r="AB97" s="2755"/>
      <c r="AC97" s="2755"/>
      <c r="AD97" s="2755"/>
      <c r="AE97" s="2755"/>
      <c r="AF97" s="2755"/>
      <c r="AG97" s="2755"/>
      <c r="AH97" s="2755"/>
      <c r="AI97" s="2755"/>
      <c r="AJ97" s="2755"/>
      <c r="AK97" s="2755"/>
      <c r="AL97" s="2755"/>
      <c r="AM97" s="2755"/>
      <c r="AN97" s="2755"/>
      <c r="AO97" s="2755"/>
      <c r="AP97" s="2755"/>
      <c r="AQ97" s="2755"/>
      <c r="AR97" s="2755"/>
      <c r="AS97" s="2755"/>
      <c r="AT97" s="2755"/>
      <c r="AU97" s="2755"/>
      <c r="AV97" s="2755"/>
      <c r="AW97" s="2755"/>
      <c r="AX97" s="2755"/>
      <c r="AY97" s="2755"/>
      <c r="AZ97" s="2755"/>
      <c r="BA97" s="2755"/>
      <c r="BB97" s="2755"/>
      <c r="BC97" s="2755"/>
      <c r="BD97" s="2756"/>
      <c r="BE97" s="1769"/>
    </row>
    <row r="98" spans="1:57" ht="15.75" customHeight="1" thickBot="1">
      <c r="A98" s="1763"/>
      <c r="B98" s="2653"/>
      <c r="C98" s="2654"/>
      <c r="D98" s="2654"/>
      <c r="E98" s="2654"/>
      <c r="F98" s="2654"/>
      <c r="G98" s="2654"/>
      <c r="H98" s="2655"/>
      <c r="I98" s="2653" t="s">
        <v>2438</v>
      </c>
      <c r="J98" s="2654"/>
      <c r="K98" s="2654"/>
      <c r="L98" s="2654"/>
      <c r="M98" s="2654"/>
      <c r="N98" s="2655"/>
      <c r="O98" s="2757" t="s">
        <v>2439</v>
      </c>
      <c r="P98" s="2758"/>
      <c r="Q98" s="2758"/>
      <c r="R98" s="2758"/>
      <c r="S98" s="2758"/>
      <c r="T98" s="2758"/>
      <c r="U98" s="2759"/>
      <c r="V98" s="1763"/>
      <c r="W98" s="1763"/>
      <c r="X98" s="2760" t="s">
        <v>2457</v>
      </c>
      <c r="Y98" s="2761"/>
      <c r="Z98" s="2761"/>
      <c r="AA98" s="2761"/>
      <c r="AB98" s="2761"/>
      <c r="AC98" s="2761"/>
      <c r="AD98" s="2761"/>
      <c r="AE98" s="2761"/>
      <c r="AF98" s="2761"/>
      <c r="AG98" s="2761"/>
      <c r="AH98" s="2761"/>
      <c r="AI98" s="2761"/>
      <c r="AJ98" s="2761"/>
      <c r="AK98" s="2761"/>
      <c r="AL98" s="2761"/>
      <c r="AM98" s="2761"/>
      <c r="AN98" s="2761"/>
      <c r="AO98" s="2761"/>
      <c r="AP98" s="2761"/>
      <c r="AQ98" s="2761"/>
      <c r="AR98" s="2761"/>
      <c r="AS98" s="2761"/>
      <c r="AT98" s="2761"/>
      <c r="AU98" s="2761"/>
      <c r="AV98" s="2761"/>
      <c r="AW98" s="2761"/>
      <c r="AX98" s="2761"/>
      <c r="AY98" s="2761"/>
      <c r="AZ98" s="2761"/>
      <c r="BA98" s="2761"/>
      <c r="BB98" s="2761"/>
      <c r="BC98" s="2761"/>
      <c r="BD98" s="2762"/>
      <c r="BE98" s="1769"/>
    </row>
    <row r="99" spans="1:57" ht="15.75" customHeight="1" thickBot="1">
      <c r="A99" s="1763"/>
      <c r="B99" s="2691" t="s">
        <v>2440</v>
      </c>
      <c r="C99" s="2692"/>
      <c r="D99" s="2692"/>
      <c r="E99" s="2692"/>
      <c r="F99" s="2692"/>
      <c r="G99" s="2692"/>
      <c r="H99" s="2693"/>
      <c r="I99" s="2766"/>
      <c r="J99" s="2767"/>
      <c r="K99" s="2767"/>
      <c r="L99" s="2767"/>
      <c r="M99" s="2767"/>
      <c r="N99" s="2767"/>
      <c r="O99" s="2767"/>
      <c r="P99" s="2767"/>
      <c r="Q99" s="2767"/>
      <c r="R99" s="2767"/>
      <c r="S99" s="2767"/>
      <c r="T99" s="2767"/>
      <c r="U99" s="2768"/>
      <c r="V99" s="1763"/>
      <c r="W99" s="1763"/>
      <c r="X99" s="2760"/>
      <c r="Y99" s="2761"/>
      <c r="Z99" s="2761"/>
      <c r="AA99" s="2761"/>
      <c r="AB99" s="2761"/>
      <c r="AC99" s="2761"/>
      <c r="AD99" s="2761"/>
      <c r="AE99" s="2761"/>
      <c r="AF99" s="2761"/>
      <c r="AG99" s="2761"/>
      <c r="AH99" s="2761"/>
      <c r="AI99" s="2761"/>
      <c r="AJ99" s="2761"/>
      <c r="AK99" s="2761"/>
      <c r="AL99" s="2761"/>
      <c r="AM99" s="2761"/>
      <c r="AN99" s="2761"/>
      <c r="AO99" s="2761"/>
      <c r="AP99" s="2761"/>
      <c r="AQ99" s="2761"/>
      <c r="AR99" s="2761"/>
      <c r="AS99" s="2761"/>
      <c r="AT99" s="2761"/>
      <c r="AU99" s="2761"/>
      <c r="AV99" s="2761"/>
      <c r="AW99" s="2761"/>
      <c r="AX99" s="2761"/>
      <c r="AY99" s="2761"/>
      <c r="AZ99" s="2761"/>
      <c r="BA99" s="2761"/>
      <c r="BB99" s="2761"/>
      <c r="BC99" s="2761"/>
      <c r="BD99" s="2762"/>
      <c r="BE99" s="1769"/>
    </row>
    <row r="100" spans="1:57" ht="15.75" customHeight="1" thickBot="1">
      <c r="A100" s="1763"/>
      <c r="B100" s="2691" t="s">
        <v>2441</v>
      </c>
      <c r="C100" s="2692"/>
      <c r="D100" s="2692"/>
      <c r="E100" s="2692"/>
      <c r="F100" s="2692"/>
      <c r="G100" s="2692"/>
      <c r="H100" s="2693"/>
      <c r="I100" s="2747"/>
      <c r="J100" s="2748"/>
      <c r="K100" s="2748"/>
      <c r="L100" s="2748"/>
      <c r="M100" s="2748"/>
      <c r="N100" s="2748"/>
      <c r="O100" s="2749"/>
      <c r="P100" s="2749"/>
      <c r="Q100" s="2749"/>
      <c r="R100" s="2749"/>
      <c r="S100" s="2749"/>
      <c r="T100" s="2749"/>
      <c r="U100" s="2750"/>
      <c r="V100" s="1763"/>
      <c r="W100" s="1763"/>
      <c r="X100" s="2760"/>
      <c r="Y100" s="2761"/>
      <c r="Z100" s="2761"/>
      <c r="AA100" s="2761"/>
      <c r="AB100" s="2761"/>
      <c r="AC100" s="2761"/>
      <c r="AD100" s="2761"/>
      <c r="AE100" s="2761"/>
      <c r="AF100" s="2761"/>
      <c r="AG100" s="2761"/>
      <c r="AH100" s="2761"/>
      <c r="AI100" s="2761"/>
      <c r="AJ100" s="2761"/>
      <c r="AK100" s="2761"/>
      <c r="AL100" s="2761"/>
      <c r="AM100" s="2761"/>
      <c r="AN100" s="2761"/>
      <c r="AO100" s="2761"/>
      <c r="AP100" s="2761"/>
      <c r="AQ100" s="2761"/>
      <c r="AR100" s="2761"/>
      <c r="AS100" s="2761"/>
      <c r="AT100" s="2761"/>
      <c r="AU100" s="2761"/>
      <c r="AV100" s="2761"/>
      <c r="AW100" s="2761"/>
      <c r="AX100" s="2761"/>
      <c r="AY100" s="2761"/>
      <c r="AZ100" s="2761"/>
      <c r="BA100" s="2761"/>
      <c r="BB100" s="2761"/>
      <c r="BC100" s="2761"/>
      <c r="BD100" s="2762"/>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0"/>
      <c r="Y101" s="2761"/>
      <c r="Z101" s="2761"/>
      <c r="AA101" s="2761"/>
      <c r="AB101" s="2761"/>
      <c r="AC101" s="2761"/>
      <c r="AD101" s="2761"/>
      <c r="AE101" s="2761"/>
      <c r="AF101" s="2761"/>
      <c r="AG101" s="2761"/>
      <c r="AH101" s="2761"/>
      <c r="AI101" s="2761"/>
      <c r="AJ101" s="2761"/>
      <c r="AK101" s="2761"/>
      <c r="AL101" s="2761"/>
      <c r="AM101" s="2761"/>
      <c r="AN101" s="2761"/>
      <c r="AO101" s="2761"/>
      <c r="AP101" s="2761"/>
      <c r="AQ101" s="2761"/>
      <c r="AR101" s="2761"/>
      <c r="AS101" s="2761"/>
      <c r="AT101" s="2761"/>
      <c r="AU101" s="2761"/>
      <c r="AV101" s="2761"/>
      <c r="AW101" s="2761"/>
      <c r="AX101" s="2761"/>
      <c r="AY101" s="2761"/>
      <c r="AZ101" s="2761"/>
      <c r="BA101" s="2761"/>
      <c r="BB101" s="2761"/>
      <c r="BC101" s="2761"/>
      <c r="BD101" s="2762"/>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0"/>
      <c r="Y102" s="2761"/>
      <c r="Z102" s="2761"/>
      <c r="AA102" s="2761"/>
      <c r="AB102" s="2761"/>
      <c r="AC102" s="2761"/>
      <c r="AD102" s="2761"/>
      <c r="AE102" s="2761"/>
      <c r="AF102" s="2761"/>
      <c r="AG102" s="2761"/>
      <c r="AH102" s="2761"/>
      <c r="AI102" s="2761"/>
      <c r="AJ102" s="2761"/>
      <c r="AK102" s="2761"/>
      <c r="AL102" s="2761"/>
      <c r="AM102" s="2761"/>
      <c r="AN102" s="2761"/>
      <c r="AO102" s="2761"/>
      <c r="AP102" s="2761"/>
      <c r="AQ102" s="2761"/>
      <c r="AR102" s="2761"/>
      <c r="AS102" s="2761"/>
      <c r="AT102" s="2761"/>
      <c r="AU102" s="2761"/>
      <c r="AV102" s="2761"/>
      <c r="AW102" s="2761"/>
      <c r="AX102" s="2761"/>
      <c r="AY102" s="2761"/>
      <c r="AZ102" s="2761"/>
      <c r="BA102" s="2761"/>
      <c r="BB102" s="2761"/>
      <c r="BC102" s="2761"/>
      <c r="BD102" s="2762"/>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0"/>
      <c r="Y103" s="2761"/>
      <c r="Z103" s="2761"/>
      <c r="AA103" s="2761"/>
      <c r="AB103" s="2761"/>
      <c r="AC103" s="2761"/>
      <c r="AD103" s="2761"/>
      <c r="AE103" s="2761"/>
      <c r="AF103" s="2761"/>
      <c r="AG103" s="2761"/>
      <c r="AH103" s="2761"/>
      <c r="AI103" s="2761"/>
      <c r="AJ103" s="2761"/>
      <c r="AK103" s="2761"/>
      <c r="AL103" s="2761"/>
      <c r="AM103" s="2761"/>
      <c r="AN103" s="2761"/>
      <c r="AO103" s="2761"/>
      <c r="AP103" s="2761"/>
      <c r="AQ103" s="2761"/>
      <c r="AR103" s="2761"/>
      <c r="AS103" s="2761"/>
      <c r="AT103" s="2761"/>
      <c r="AU103" s="2761"/>
      <c r="AV103" s="2761"/>
      <c r="AW103" s="2761"/>
      <c r="AX103" s="2761"/>
      <c r="AY103" s="2761"/>
      <c r="AZ103" s="2761"/>
      <c r="BA103" s="2761"/>
      <c r="BB103" s="2761"/>
      <c r="BC103" s="2761"/>
      <c r="BD103" s="2762"/>
      <c r="BE103" s="1769"/>
    </row>
    <row r="104" spans="1:57" ht="15.75" customHeight="1">
      <c r="A104" s="1763"/>
      <c r="B104" s="2697" t="s">
        <v>2048</v>
      </c>
      <c r="C104" s="2698"/>
      <c r="D104" s="2698"/>
      <c r="E104" s="2698"/>
      <c r="F104" s="2698"/>
      <c r="G104" s="2698"/>
      <c r="H104" s="2698"/>
      <c r="I104" s="2698"/>
      <c r="J104" s="2698"/>
      <c r="K104" s="2698"/>
      <c r="L104" s="2698"/>
      <c r="M104" s="2698"/>
      <c r="N104" s="2698"/>
      <c r="O104" s="2698"/>
      <c r="P104" s="2698"/>
      <c r="Q104" s="2698"/>
      <c r="R104" s="2698"/>
      <c r="S104" s="2698"/>
      <c r="T104" s="2698"/>
      <c r="U104" s="2746"/>
      <c r="V104" s="1763"/>
      <c r="W104" s="1763"/>
      <c r="X104" s="2760"/>
      <c r="Y104" s="2761"/>
      <c r="Z104" s="2761"/>
      <c r="AA104" s="2761"/>
      <c r="AB104" s="2761"/>
      <c r="AC104" s="2761"/>
      <c r="AD104" s="2761"/>
      <c r="AE104" s="2761"/>
      <c r="AF104" s="2761"/>
      <c r="AG104" s="2761"/>
      <c r="AH104" s="2761"/>
      <c r="AI104" s="2761"/>
      <c r="AJ104" s="2761"/>
      <c r="AK104" s="2761"/>
      <c r="AL104" s="2761"/>
      <c r="AM104" s="2761"/>
      <c r="AN104" s="2761"/>
      <c r="AO104" s="2761"/>
      <c r="AP104" s="2761"/>
      <c r="AQ104" s="2761"/>
      <c r="AR104" s="2761"/>
      <c r="AS104" s="2761"/>
      <c r="AT104" s="2761"/>
      <c r="AU104" s="2761"/>
      <c r="AV104" s="2761"/>
      <c r="AW104" s="2761"/>
      <c r="AX104" s="2761"/>
      <c r="AY104" s="2761"/>
      <c r="AZ104" s="2761"/>
      <c r="BA104" s="2761"/>
      <c r="BB104" s="2761"/>
      <c r="BC104" s="2761"/>
      <c r="BD104" s="2762"/>
      <c r="BE104" s="1769"/>
    </row>
    <row r="105" spans="1:57" ht="15.75" customHeight="1">
      <c r="A105" s="1763"/>
      <c r="B105" s="2708"/>
      <c r="C105" s="2709"/>
      <c r="D105" s="2709"/>
      <c r="E105" s="2709"/>
      <c r="F105" s="2709"/>
      <c r="G105" s="2709"/>
      <c r="H105" s="2710"/>
      <c r="I105" s="2714" t="s">
        <v>2041</v>
      </c>
      <c r="J105" s="2715"/>
      <c r="K105" s="2715"/>
      <c r="L105" s="2715"/>
      <c r="M105" s="2715"/>
      <c r="N105" s="2715"/>
      <c r="O105" s="2716"/>
      <c r="P105" s="2720" t="s">
        <v>2459</v>
      </c>
      <c r="Q105" s="2721"/>
      <c r="R105" s="2721"/>
      <c r="S105" s="2721"/>
      <c r="T105" s="2721"/>
      <c r="U105" s="2722"/>
      <c r="V105" s="1763"/>
      <c r="W105" s="1763"/>
      <c r="X105" s="2760"/>
      <c r="Y105" s="2761"/>
      <c r="Z105" s="2761"/>
      <c r="AA105" s="2761"/>
      <c r="AB105" s="2761"/>
      <c r="AC105" s="2761"/>
      <c r="AD105" s="2761"/>
      <c r="AE105" s="2761"/>
      <c r="AF105" s="2761"/>
      <c r="AG105" s="2761"/>
      <c r="AH105" s="2761"/>
      <c r="AI105" s="2761"/>
      <c r="AJ105" s="2761"/>
      <c r="AK105" s="2761"/>
      <c r="AL105" s="2761"/>
      <c r="AM105" s="2761"/>
      <c r="AN105" s="2761"/>
      <c r="AO105" s="2761"/>
      <c r="AP105" s="2761"/>
      <c r="AQ105" s="2761"/>
      <c r="AR105" s="2761"/>
      <c r="AS105" s="2761"/>
      <c r="AT105" s="2761"/>
      <c r="AU105" s="2761"/>
      <c r="AV105" s="2761"/>
      <c r="AW105" s="2761"/>
      <c r="AX105" s="2761"/>
      <c r="AY105" s="2761"/>
      <c r="AZ105" s="2761"/>
      <c r="BA105" s="2761"/>
      <c r="BB105" s="2761"/>
      <c r="BC105" s="2761"/>
      <c r="BD105" s="2762"/>
      <c r="BE105" s="1769"/>
    </row>
    <row r="106" spans="1:57" ht="15.75" customHeight="1" thickBot="1">
      <c r="A106" s="1763"/>
      <c r="B106" s="2711"/>
      <c r="C106" s="2712"/>
      <c r="D106" s="2712"/>
      <c r="E106" s="2712"/>
      <c r="F106" s="2712"/>
      <c r="G106" s="2712"/>
      <c r="H106" s="2713"/>
      <c r="I106" s="2717"/>
      <c r="J106" s="2718"/>
      <c r="K106" s="2718"/>
      <c r="L106" s="2718"/>
      <c r="M106" s="2718"/>
      <c r="N106" s="2718"/>
      <c r="O106" s="2719"/>
      <c r="P106" s="2723"/>
      <c r="Q106" s="2724"/>
      <c r="R106" s="2724"/>
      <c r="S106" s="2724"/>
      <c r="T106" s="2724"/>
      <c r="U106" s="2725"/>
      <c r="V106" s="1763"/>
      <c r="W106" s="1763"/>
      <c r="X106" s="2760"/>
      <c r="Y106" s="2761"/>
      <c r="Z106" s="2761"/>
      <c r="AA106" s="2761"/>
      <c r="AB106" s="2761"/>
      <c r="AC106" s="2761"/>
      <c r="AD106" s="2761"/>
      <c r="AE106" s="2761"/>
      <c r="AF106" s="2761"/>
      <c r="AG106" s="2761"/>
      <c r="AH106" s="2761"/>
      <c r="AI106" s="2761"/>
      <c r="AJ106" s="2761"/>
      <c r="AK106" s="2761"/>
      <c r="AL106" s="2761"/>
      <c r="AM106" s="2761"/>
      <c r="AN106" s="2761"/>
      <c r="AO106" s="2761"/>
      <c r="AP106" s="2761"/>
      <c r="AQ106" s="2761"/>
      <c r="AR106" s="2761"/>
      <c r="AS106" s="2761"/>
      <c r="AT106" s="2761"/>
      <c r="AU106" s="2761"/>
      <c r="AV106" s="2761"/>
      <c r="AW106" s="2761"/>
      <c r="AX106" s="2761"/>
      <c r="AY106" s="2761"/>
      <c r="AZ106" s="2761"/>
      <c r="BA106" s="2761"/>
      <c r="BB106" s="2761"/>
      <c r="BC106" s="2761"/>
      <c r="BD106" s="2762"/>
      <c r="BE106" s="1769"/>
    </row>
    <row r="107" spans="1:57" ht="15.75" customHeight="1" thickBot="1">
      <c r="A107" s="1763"/>
      <c r="B107" s="2691" t="s">
        <v>2440</v>
      </c>
      <c r="C107" s="2692"/>
      <c r="D107" s="2692"/>
      <c r="E107" s="2692"/>
      <c r="F107" s="2692"/>
      <c r="G107" s="2692"/>
      <c r="H107" s="2693"/>
      <c r="I107" s="2694"/>
      <c r="J107" s="2695"/>
      <c r="K107" s="2695"/>
      <c r="L107" s="2695"/>
      <c r="M107" s="2695"/>
      <c r="N107" s="2695"/>
      <c r="O107" s="2696"/>
      <c r="P107" s="2694"/>
      <c r="Q107" s="2695"/>
      <c r="R107" s="2695"/>
      <c r="S107" s="2695"/>
      <c r="T107" s="2695"/>
      <c r="U107" s="2696"/>
      <c r="V107" s="1763"/>
      <c r="W107" s="1763"/>
      <c r="X107" s="2760"/>
      <c r="Y107" s="2761"/>
      <c r="Z107" s="2761"/>
      <c r="AA107" s="2761"/>
      <c r="AB107" s="2761"/>
      <c r="AC107" s="2761"/>
      <c r="AD107" s="2761"/>
      <c r="AE107" s="2761"/>
      <c r="AF107" s="2761"/>
      <c r="AG107" s="2761"/>
      <c r="AH107" s="2761"/>
      <c r="AI107" s="2761"/>
      <c r="AJ107" s="2761"/>
      <c r="AK107" s="2761"/>
      <c r="AL107" s="2761"/>
      <c r="AM107" s="2761"/>
      <c r="AN107" s="2761"/>
      <c r="AO107" s="2761"/>
      <c r="AP107" s="2761"/>
      <c r="AQ107" s="2761"/>
      <c r="AR107" s="2761"/>
      <c r="AS107" s="2761"/>
      <c r="AT107" s="2761"/>
      <c r="AU107" s="2761"/>
      <c r="AV107" s="2761"/>
      <c r="AW107" s="2761"/>
      <c r="AX107" s="2761"/>
      <c r="AY107" s="2761"/>
      <c r="AZ107" s="2761"/>
      <c r="BA107" s="2761"/>
      <c r="BB107" s="2761"/>
      <c r="BC107" s="2761"/>
      <c r="BD107" s="2762"/>
      <c r="BE107" s="1769"/>
    </row>
    <row r="108" spans="1:57" ht="15.75" customHeight="1" thickBot="1">
      <c r="A108" s="1763"/>
      <c r="B108" s="2691" t="s">
        <v>2441</v>
      </c>
      <c r="C108" s="2692"/>
      <c r="D108" s="2692"/>
      <c r="E108" s="2692"/>
      <c r="F108" s="2692"/>
      <c r="G108" s="2692"/>
      <c r="H108" s="2693"/>
      <c r="I108" s="2694"/>
      <c r="J108" s="2695"/>
      <c r="K108" s="2695"/>
      <c r="L108" s="2695"/>
      <c r="M108" s="2695"/>
      <c r="N108" s="2695"/>
      <c r="O108" s="2696"/>
      <c r="P108" s="2694"/>
      <c r="Q108" s="2695"/>
      <c r="R108" s="2695"/>
      <c r="S108" s="2695"/>
      <c r="T108" s="2695"/>
      <c r="U108" s="2696"/>
      <c r="V108" s="1763"/>
      <c r="W108" s="1763"/>
      <c r="X108" s="2763"/>
      <c r="Y108" s="2764"/>
      <c r="Z108" s="2764"/>
      <c r="AA108" s="2764"/>
      <c r="AB108" s="2764"/>
      <c r="AC108" s="2764"/>
      <c r="AD108" s="2764"/>
      <c r="AE108" s="2764"/>
      <c r="AF108" s="2764"/>
      <c r="AG108" s="2764"/>
      <c r="AH108" s="2764"/>
      <c r="AI108" s="2764"/>
      <c r="AJ108" s="2764"/>
      <c r="AK108" s="2764"/>
      <c r="AL108" s="2764"/>
      <c r="AM108" s="2764"/>
      <c r="AN108" s="2764"/>
      <c r="AO108" s="2764"/>
      <c r="AP108" s="2764"/>
      <c r="AQ108" s="2764"/>
      <c r="AR108" s="2764"/>
      <c r="AS108" s="2764"/>
      <c r="AT108" s="2764"/>
      <c r="AU108" s="2764"/>
      <c r="AV108" s="2764"/>
      <c r="AW108" s="2764"/>
      <c r="AX108" s="2764"/>
      <c r="AY108" s="2764"/>
      <c r="AZ108" s="2764"/>
      <c r="BA108" s="2764"/>
      <c r="BB108" s="2764"/>
      <c r="BC108" s="2764"/>
      <c r="BD108" s="2765"/>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26" t="s">
        <v>2049</v>
      </c>
      <c r="C110" s="2727"/>
      <c r="D110" s="2727"/>
      <c r="E110" s="2727"/>
      <c r="F110" s="2727"/>
      <c r="G110" s="2727"/>
      <c r="H110" s="2727"/>
      <c r="I110" s="2727"/>
      <c r="J110" s="2727"/>
      <c r="K110" s="2727"/>
      <c r="L110" s="2727"/>
      <c r="M110" s="2727"/>
      <c r="N110" s="2727"/>
      <c r="O110" s="2727"/>
      <c r="P110" s="2727"/>
      <c r="Q110" s="2727"/>
      <c r="R110" s="2728"/>
      <c r="S110" s="2728"/>
      <c r="T110" s="2728"/>
      <c r="U110" s="2728"/>
      <c r="V110" s="2728"/>
      <c r="W110" s="2728"/>
      <c r="X110" s="2728"/>
      <c r="Y110" s="2728"/>
      <c r="Z110" s="2728"/>
      <c r="AA110" s="2728"/>
      <c r="AB110" s="2728"/>
      <c r="AC110" s="2728"/>
      <c r="AD110" s="2728"/>
      <c r="AE110" s="2728"/>
      <c r="AF110" s="2728"/>
      <c r="AG110" s="2729" t="s">
        <v>1989</v>
      </c>
      <c r="AH110" s="2729"/>
      <c r="AI110" s="2729"/>
      <c r="AJ110" s="2730"/>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1" t="s">
        <v>2050</v>
      </c>
      <c r="C111" s="2732"/>
      <c r="D111" s="2732"/>
      <c r="E111" s="2732"/>
      <c r="F111" s="2732"/>
      <c r="G111" s="2732"/>
      <c r="H111" s="2732"/>
      <c r="I111" s="2732"/>
      <c r="J111" s="2732"/>
      <c r="K111" s="2732"/>
      <c r="L111" s="2732"/>
      <c r="M111" s="2732"/>
      <c r="N111" s="2732"/>
      <c r="O111" s="2732"/>
      <c r="P111" s="2732"/>
      <c r="Q111" s="2733"/>
      <c r="R111" s="2734" t="s">
        <v>2462</v>
      </c>
      <c r="S111" s="2735"/>
      <c r="T111" s="2735"/>
      <c r="U111" s="2735"/>
      <c r="V111" s="2735"/>
      <c r="W111" s="2735"/>
      <c r="X111" s="2735"/>
      <c r="Y111" s="2735"/>
      <c r="Z111" s="2735"/>
      <c r="AA111" s="2735"/>
      <c r="AB111" s="2735"/>
      <c r="AC111" s="2735"/>
      <c r="AD111" s="2735"/>
      <c r="AE111" s="2735"/>
      <c r="AF111" s="2735"/>
      <c r="AG111" s="2735"/>
      <c r="AH111" s="2735"/>
      <c r="AI111" s="2735"/>
      <c r="AJ111" s="2735"/>
      <c r="AK111" s="2735"/>
      <c r="AL111" s="2735"/>
      <c r="AM111" s="2735"/>
      <c r="AN111" s="2735"/>
      <c r="AO111" s="2735"/>
      <c r="AP111" s="2735"/>
      <c r="AQ111" s="2735"/>
      <c r="AR111" s="2735"/>
      <c r="AS111" s="2735"/>
      <c r="AT111" s="2735"/>
      <c r="AU111" s="2735"/>
      <c r="AV111" s="2735"/>
      <c r="AW111" s="2735"/>
      <c r="AX111" s="2736"/>
      <c r="AY111" s="1763"/>
      <c r="AZ111" s="1763"/>
      <c r="BA111" s="1763"/>
      <c r="BB111" s="1763"/>
      <c r="BC111" s="1763" t="s">
        <v>256</v>
      </c>
      <c r="BD111" s="1763"/>
      <c r="BE111" s="1769"/>
    </row>
    <row r="112" spans="1:57" ht="15.75" customHeight="1">
      <c r="A112" s="1763"/>
      <c r="B112" s="2737" t="s">
        <v>2463</v>
      </c>
      <c r="C112" s="2738"/>
      <c r="D112" s="2738"/>
      <c r="E112" s="2738"/>
      <c r="F112" s="2738"/>
      <c r="G112" s="2738"/>
      <c r="H112" s="2738"/>
      <c r="I112" s="2738"/>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38"/>
      <c r="AD112" s="2738"/>
      <c r="AE112" s="2738"/>
      <c r="AF112" s="2738"/>
      <c r="AG112" s="2738"/>
      <c r="AH112" s="2738"/>
      <c r="AI112" s="2738"/>
      <c r="AJ112" s="2738"/>
      <c r="AK112" s="2738"/>
      <c r="AL112" s="2738"/>
      <c r="AM112" s="2738"/>
      <c r="AN112" s="2738"/>
      <c r="AO112" s="2738"/>
      <c r="AP112" s="2738"/>
      <c r="AQ112" s="2738"/>
      <c r="AR112" s="2738"/>
      <c r="AS112" s="2738"/>
      <c r="AT112" s="2738"/>
      <c r="AU112" s="2738"/>
      <c r="AV112" s="2738"/>
      <c r="AW112" s="2738"/>
      <c r="AX112" s="2739"/>
      <c r="AY112" s="1763"/>
      <c r="AZ112" s="1763"/>
      <c r="BA112" s="1763"/>
      <c r="BB112" s="1763"/>
      <c r="BC112" s="1763"/>
      <c r="BD112" s="1763"/>
      <c r="BE112" s="1769"/>
    </row>
    <row r="113" spans="1:57" ht="15.75" customHeight="1">
      <c r="A113" s="1763"/>
      <c r="B113" s="2740"/>
      <c r="C113" s="2741"/>
      <c r="D113" s="2741"/>
      <c r="E113" s="2741"/>
      <c r="F113" s="2741"/>
      <c r="G113" s="2741"/>
      <c r="H113" s="2741"/>
      <c r="I113" s="2741"/>
      <c r="J113" s="2741"/>
      <c r="K113" s="2741"/>
      <c r="L113" s="2741"/>
      <c r="M113" s="2741"/>
      <c r="N113" s="2741"/>
      <c r="O113" s="2741"/>
      <c r="P113" s="2741"/>
      <c r="Q113" s="2741"/>
      <c r="R113" s="2741"/>
      <c r="S113" s="2741"/>
      <c r="T113" s="2741"/>
      <c r="U113" s="2741"/>
      <c r="V113" s="2741"/>
      <c r="W113" s="2741"/>
      <c r="X113" s="2741"/>
      <c r="Y113" s="2741"/>
      <c r="Z113" s="2741"/>
      <c r="AA113" s="2741"/>
      <c r="AB113" s="2741"/>
      <c r="AC113" s="2741"/>
      <c r="AD113" s="2741"/>
      <c r="AE113" s="2741"/>
      <c r="AF113" s="2741"/>
      <c r="AG113" s="2741"/>
      <c r="AH113" s="2741"/>
      <c r="AI113" s="2741"/>
      <c r="AJ113" s="2741"/>
      <c r="AK113" s="2741"/>
      <c r="AL113" s="2741"/>
      <c r="AM113" s="2741"/>
      <c r="AN113" s="2741"/>
      <c r="AO113" s="2741"/>
      <c r="AP113" s="2741"/>
      <c r="AQ113" s="2741"/>
      <c r="AR113" s="2741"/>
      <c r="AS113" s="2741"/>
      <c r="AT113" s="2741"/>
      <c r="AU113" s="2741"/>
      <c r="AV113" s="2741"/>
      <c r="AW113" s="2741"/>
      <c r="AX113" s="2742"/>
      <c r="AY113" s="1763"/>
      <c r="AZ113" s="1763"/>
      <c r="BA113" s="1763"/>
      <c r="BB113" s="1763"/>
      <c r="BC113" s="1763"/>
      <c r="BD113" s="1763"/>
      <c r="BE113" s="1769"/>
    </row>
    <row r="114" spans="1:57" ht="15.75" customHeight="1">
      <c r="A114" s="1763"/>
      <c r="B114" s="2740"/>
      <c r="C114" s="2741"/>
      <c r="D114" s="2741"/>
      <c r="E114" s="2741"/>
      <c r="F114" s="2741"/>
      <c r="G114" s="2741"/>
      <c r="H114" s="2741"/>
      <c r="I114" s="2741"/>
      <c r="J114" s="2741"/>
      <c r="K114" s="2741"/>
      <c r="L114" s="2741"/>
      <c r="M114" s="2741"/>
      <c r="N114" s="2741"/>
      <c r="O114" s="2741"/>
      <c r="P114" s="2741"/>
      <c r="Q114" s="2741"/>
      <c r="R114" s="2741"/>
      <c r="S114" s="2741"/>
      <c r="T114" s="2741"/>
      <c r="U114" s="2741"/>
      <c r="V114" s="2741"/>
      <c r="W114" s="2741"/>
      <c r="X114" s="2741"/>
      <c r="Y114" s="2741"/>
      <c r="Z114" s="2741"/>
      <c r="AA114" s="2741"/>
      <c r="AB114" s="2741"/>
      <c r="AC114" s="2741"/>
      <c r="AD114" s="2741"/>
      <c r="AE114" s="2741"/>
      <c r="AF114" s="2741"/>
      <c r="AG114" s="2741"/>
      <c r="AH114" s="2741"/>
      <c r="AI114" s="2741"/>
      <c r="AJ114" s="2741"/>
      <c r="AK114" s="2741"/>
      <c r="AL114" s="2741"/>
      <c r="AM114" s="2741"/>
      <c r="AN114" s="2741"/>
      <c r="AO114" s="2741"/>
      <c r="AP114" s="2741"/>
      <c r="AQ114" s="2741"/>
      <c r="AR114" s="2741"/>
      <c r="AS114" s="2741"/>
      <c r="AT114" s="2741"/>
      <c r="AU114" s="2741"/>
      <c r="AV114" s="2741"/>
      <c r="AW114" s="2741"/>
      <c r="AX114" s="2742"/>
      <c r="AY114" s="1763"/>
      <c r="AZ114" s="1763"/>
      <c r="BA114" s="1763"/>
      <c r="BB114" s="1763"/>
      <c r="BC114" s="1763"/>
      <c r="BD114" s="1763"/>
      <c r="BE114" s="1769"/>
    </row>
    <row r="115" spans="1:57" ht="15.75" customHeight="1">
      <c r="A115" s="1763"/>
      <c r="B115" s="2740"/>
      <c r="C115" s="2741"/>
      <c r="D115" s="2741"/>
      <c r="E115" s="2741"/>
      <c r="F115" s="2741"/>
      <c r="G115" s="2741"/>
      <c r="H115" s="2741"/>
      <c r="I115" s="2741"/>
      <c r="J115" s="2741"/>
      <c r="K115" s="2741"/>
      <c r="L115" s="2741"/>
      <c r="M115" s="2741"/>
      <c r="N115" s="2741"/>
      <c r="O115" s="2741"/>
      <c r="P115" s="2741"/>
      <c r="Q115" s="2741"/>
      <c r="R115" s="2741"/>
      <c r="S115" s="2741"/>
      <c r="T115" s="2741"/>
      <c r="U115" s="2741"/>
      <c r="V115" s="2741"/>
      <c r="W115" s="2741"/>
      <c r="X115" s="2741"/>
      <c r="Y115" s="2741"/>
      <c r="Z115" s="2741"/>
      <c r="AA115" s="2741"/>
      <c r="AB115" s="2741"/>
      <c r="AC115" s="2741"/>
      <c r="AD115" s="2741"/>
      <c r="AE115" s="2741"/>
      <c r="AF115" s="2741"/>
      <c r="AG115" s="2741"/>
      <c r="AH115" s="2741"/>
      <c r="AI115" s="2741"/>
      <c r="AJ115" s="2741"/>
      <c r="AK115" s="2741"/>
      <c r="AL115" s="2741"/>
      <c r="AM115" s="2741"/>
      <c r="AN115" s="2741"/>
      <c r="AO115" s="2741"/>
      <c r="AP115" s="2741"/>
      <c r="AQ115" s="2741"/>
      <c r="AR115" s="2741"/>
      <c r="AS115" s="2741"/>
      <c r="AT115" s="2741"/>
      <c r="AU115" s="2741"/>
      <c r="AV115" s="2741"/>
      <c r="AW115" s="2741"/>
      <c r="AX115" s="2742"/>
      <c r="AY115" s="1763"/>
      <c r="AZ115" s="1763"/>
      <c r="BA115" s="1763"/>
      <c r="BB115" s="1763"/>
      <c r="BC115" s="1763"/>
      <c r="BD115" s="1763"/>
      <c r="BE115" s="1769"/>
    </row>
    <row r="116" spans="1:57" ht="15.75" customHeight="1">
      <c r="A116" s="1763"/>
      <c r="B116" s="2740"/>
      <c r="C116" s="2741"/>
      <c r="D116" s="2741"/>
      <c r="E116" s="2741"/>
      <c r="F116" s="2741"/>
      <c r="G116" s="2741"/>
      <c r="H116" s="2741"/>
      <c r="I116" s="2741"/>
      <c r="J116" s="2741"/>
      <c r="K116" s="2741"/>
      <c r="L116" s="2741"/>
      <c r="M116" s="2741"/>
      <c r="N116" s="2741"/>
      <c r="O116" s="2741"/>
      <c r="P116" s="2741"/>
      <c r="Q116" s="2741"/>
      <c r="R116" s="2741"/>
      <c r="S116" s="2741"/>
      <c r="T116" s="2741"/>
      <c r="U116" s="2741"/>
      <c r="V116" s="2741"/>
      <c r="W116" s="2741"/>
      <c r="X116" s="2741"/>
      <c r="Y116" s="2741"/>
      <c r="Z116" s="2741"/>
      <c r="AA116" s="2741"/>
      <c r="AB116" s="2741"/>
      <c r="AC116" s="2741"/>
      <c r="AD116" s="2741"/>
      <c r="AE116" s="2741"/>
      <c r="AF116" s="2741"/>
      <c r="AG116" s="2741"/>
      <c r="AH116" s="2741"/>
      <c r="AI116" s="2741"/>
      <c r="AJ116" s="2741"/>
      <c r="AK116" s="2741"/>
      <c r="AL116" s="2741"/>
      <c r="AM116" s="2741"/>
      <c r="AN116" s="2741"/>
      <c r="AO116" s="2741"/>
      <c r="AP116" s="2741"/>
      <c r="AQ116" s="2741"/>
      <c r="AR116" s="2741"/>
      <c r="AS116" s="2741"/>
      <c r="AT116" s="2741"/>
      <c r="AU116" s="2741"/>
      <c r="AV116" s="2741"/>
      <c r="AW116" s="2741"/>
      <c r="AX116" s="2742"/>
      <c r="AY116" s="1763"/>
      <c r="AZ116" s="1763"/>
      <c r="BA116" s="1763"/>
      <c r="BB116" s="1763"/>
      <c r="BC116" s="1763"/>
      <c r="BD116" s="1763"/>
      <c r="BE116" s="1769"/>
    </row>
    <row r="117" spans="1:57" ht="15.75" customHeight="1">
      <c r="A117" s="1763"/>
      <c r="B117" s="2740"/>
      <c r="C117" s="2741"/>
      <c r="D117" s="2741"/>
      <c r="E117" s="2741"/>
      <c r="F117" s="2741"/>
      <c r="G117" s="2741"/>
      <c r="H117" s="2741"/>
      <c r="I117" s="2741"/>
      <c r="J117" s="2741"/>
      <c r="K117" s="2741"/>
      <c r="L117" s="2741"/>
      <c r="M117" s="2741"/>
      <c r="N117" s="2741"/>
      <c r="O117" s="2741"/>
      <c r="P117" s="2741"/>
      <c r="Q117" s="2741"/>
      <c r="R117" s="2741"/>
      <c r="S117" s="2741"/>
      <c r="T117" s="2741"/>
      <c r="U117" s="2741"/>
      <c r="V117" s="2741"/>
      <c r="W117" s="2741"/>
      <c r="X117" s="2741"/>
      <c r="Y117" s="2741"/>
      <c r="Z117" s="2741"/>
      <c r="AA117" s="2741"/>
      <c r="AB117" s="2741"/>
      <c r="AC117" s="2741"/>
      <c r="AD117" s="2741"/>
      <c r="AE117" s="2741"/>
      <c r="AF117" s="2741"/>
      <c r="AG117" s="2741"/>
      <c r="AH117" s="2741"/>
      <c r="AI117" s="2741"/>
      <c r="AJ117" s="2741"/>
      <c r="AK117" s="2741"/>
      <c r="AL117" s="2741"/>
      <c r="AM117" s="2741"/>
      <c r="AN117" s="2741"/>
      <c r="AO117" s="2741"/>
      <c r="AP117" s="2741"/>
      <c r="AQ117" s="2741"/>
      <c r="AR117" s="2741"/>
      <c r="AS117" s="2741"/>
      <c r="AT117" s="2741"/>
      <c r="AU117" s="2741"/>
      <c r="AV117" s="2741"/>
      <c r="AW117" s="2741"/>
      <c r="AX117" s="2742"/>
      <c r="AY117" s="1763"/>
      <c r="AZ117" s="1763"/>
      <c r="BA117" s="1763"/>
      <c r="BB117" s="1763"/>
      <c r="BC117" s="1763"/>
      <c r="BD117" s="1763"/>
      <c r="BE117" s="1769"/>
    </row>
    <row r="118" spans="1:57" ht="15.75" customHeight="1">
      <c r="A118" s="1763"/>
      <c r="B118" s="2740"/>
      <c r="C118" s="2741"/>
      <c r="D118" s="2741"/>
      <c r="E118" s="2741"/>
      <c r="F118" s="2741"/>
      <c r="G118" s="2741"/>
      <c r="H118" s="2741"/>
      <c r="I118" s="2741"/>
      <c r="J118" s="2741"/>
      <c r="K118" s="2741"/>
      <c r="L118" s="2741"/>
      <c r="M118" s="2741"/>
      <c r="N118" s="2741"/>
      <c r="O118" s="2741"/>
      <c r="P118" s="2741"/>
      <c r="Q118" s="2741"/>
      <c r="R118" s="2741"/>
      <c r="S118" s="2741"/>
      <c r="T118" s="2741"/>
      <c r="U118" s="2741"/>
      <c r="V118" s="2741"/>
      <c r="W118" s="2741"/>
      <c r="X118" s="2741"/>
      <c r="Y118" s="2741"/>
      <c r="Z118" s="2741"/>
      <c r="AA118" s="2741"/>
      <c r="AB118" s="2741"/>
      <c r="AC118" s="2741"/>
      <c r="AD118" s="2741"/>
      <c r="AE118" s="2741"/>
      <c r="AF118" s="2741"/>
      <c r="AG118" s="2741"/>
      <c r="AH118" s="2741"/>
      <c r="AI118" s="2741"/>
      <c r="AJ118" s="2741"/>
      <c r="AK118" s="2741"/>
      <c r="AL118" s="2741"/>
      <c r="AM118" s="2741"/>
      <c r="AN118" s="2741"/>
      <c r="AO118" s="2741"/>
      <c r="AP118" s="2741"/>
      <c r="AQ118" s="2741"/>
      <c r="AR118" s="2741"/>
      <c r="AS118" s="2741"/>
      <c r="AT118" s="2741"/>
      <c r="AU118" s="2741"/>
      <c r="AV118" s="2741"/>
      <c r="AW118" s="2741"/>
      <c r="AX118" s="2742"/>
      <c r="AY118" s="1763"/>
      <c r="AZ118" s="1763"/>
      <c r="BA118" s="1763"/>
      <c r="BB118" s="1763"/>
      <c r="BC118" s="1763"/>
      <c r="BD118" s="1763"/>
      <c r="BE118" s="1769"/>
    </row>
    <row r="119" spans="1:57" ht="15.75" customHeight="1">
      <c r="A119" s="1763"/>
      <c r="B119" s="2740"/>
      <c r="C119" s="2741"/>
      <c r="D119" s="2741"/>
      <c r="E119" s="2741"/>
      <c r="F119" s="2741"/>
      <c r="G119" s="2741"/>
      <c r="H119" s="2741"/>
      <c r="I119" s="2741"/>
      <c r="J119" s="2741"/>
      <c r="K119" s="2741"/>
      <c r="L119" s="2741"/>
      <c r="M119" s="2741"/>
      <c r="N119" s="2741"/>
      <c r="O119" s="2741"/>
      <c r="P119" s="2741"/>
      <c r="Q119" s="2741"/>
      <c r="R119" s="2741"/>
      <c r="S119" s="2741"/>
      <c r="T119" s="2741"/>
      <c r="U119" s="2741"/>
      <c r="V119" s="2741"/>
      <c r="W119" s="2741"/>
      <c r="X119" s="2741"/>
      <c r="Y119" s="2741"/>
      <c r="Z119" s="2741"/>
      <c r="AA119" s="2741"/>
      <c r="AB119" s="2741"/>
      <c r="AC119" s="2741"/>
      <c r="AD119" s="2741"/>
      <c r="AE119" s="2741"/>
      <c r="AF119" s="2741"/>
      <c r="AG119" s="2741"/>
      <c r="AH119" s="2741"/>
      <c r="AI119" s="2741"/>
      <c r="AJ119" s="2741"/>
      <c r="AK119" s="2741"/>
      <c r="AL119" s="2741"/>
      <c r="AM119" s="2741"/>
      <c r="AN119" s="2741"/>
      <c r="AO119" s="2741"/>
      <c r="AP119" s="2741"/>
      <c r="AQ119" s="2741"/>
      <c r="AR119" s="2741"/>
      <c r="AS119" s="2741"/>
      <c r="AT119" s="2741"/>
      <c r="AU119" s="2741"/>
      <c r="AV119" s="2741"/>
      <c r="AW119" s="2741"/>
      <c r="AX119" s="2742"/>
      <c r="AY119" s="1763"/>
      <c r="AZ119" s="1763"/>
      <c r="BA119" s="1763"/>
      <c r="BB119" s="1763"/>
      <c r="BC119" s="1763"/>
      <c r="BD119" s="1763"/>
      <c r="BE119" s="1769"/>
    </row>
    <row r="120" spans="1:57" ht="15.75" customHeight="1">
      <c r="A120" s="1763"/>
      <c r="B120" s="2740"/>
      <c r="C120" s="2741"/>
      <c r="D120" s="2741"/>
      <c r="E120" s="2741"/>
      <c r="F120" s="2741"/>
      <c r="G120" s="2741"/>
      <c r="H120" s="2741"/>
      <c r="I120" s="2741"/>
      <c r="J120" s="2741"/>
      <c r="K120" s="2741"/>
      <c r="L120" s="2741"/>
      <c r="M120" s="2741"/>
      <c r="N120" s="2741"/>
      <c r="O120" s="2741"/>
      <c r="P120" s="2741"/>
      <c r="Q120" s="2741"/>
      <c r="R120" s="2741"/>
      <c r="S120" s="2741"/>
      <c r="T120" s="2741"/>
      <c r="U120" s="2741"/>
      <c r="V120" s="2741"/>
      <c r="W120" s="2741"/>
      <c r="X120" s="2741"/>
      <c r="Y120" s="2741"/>
      <c r="Z120" s="2741"/>
      <c r="AA120" s="2741"/>
      <c r="AB120" s="2741"/>
      <c r="AC120" s="2741"/>
      <c r="AD120" s="2741"/>
      <c r="AE120" s="2741"/>
      <c r="AF120" s="2741"/>
      <c r="AG120" s="2741"/>
      <c r="AH120" s="2741"/>
      <c r="AI120" s="2741"/>
      <c r="AJ120" s="2741"/>
      <c r="AK120" s="2741"/>
      <c r="AL120" s="2741"/>
      <c r="AM120" s="2741"/>
      <c r="AN120" s="2741"/>
      <c r="AO120" s="2741"/>
      <c r="AP120" s="2741"/>
      <c r="AQ120" s="2741"/>
      <c r="AR120" s="2741"/>
      <c r="AS120" s="2741"/>
      <c r="AT120" s="2741"/>
      <c r="AU120" s="2741"/>
      <c r="AV120" s="2741"/>
      <c r="AW120" s="2741"/>
      <c r="AX120" s="2742"/>
      <c r="AY120" s="1763"/>
      <c r="AZ120" s="1763"/>
      <c r="BA120" s="1763"/>
      <c r="BB120" s="1763"/>
      <c r="BC120" s="1763"/>
      <c r="BD120" s="1763"/>
      <c r="BE120" s="1769"/>
    </row>
    <row r="121" spans="1:57" ht="15.75" customHeight="1" thickBot="1">
      <c r="A121" s="1763"/>
      <c r="B121" s="2743"/>
      <c r="C121" s="2744"/>
      <c r="D121" s="2744"/>
      <c r="E121" s="2744"/>
      <c r="F121" s="2744"/>
      <c r="G121" s="2744"/>
      <c r="H121" s="2744"/>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44"/>
      <c r="AD121" s="2744"/>
      <c r="AE121" s="2744"/>
      <c r="AF121" s="2744"/>
      <c r="AG121" s="2744"/>
      <c r="AH121" s="2744"/>
      <c r="AI121" s="2744"/>
      <c r="AJ121" s="2744"/>
      <c r="AK121" s="2744"/>
      <c r="AL121" s="2744"/>
      <c r="AM121" s="2744"/>
      <c r="AN121" s="2744"/>
      <c r="AO121" s="2744"/>
      <c r="AP121" s="2744"/>
      <c r="AQ121" s="2744"/>
      <c r="AR121" s="2744"/>
      <c r="AS121" s="2744"/>
      <c r="AT121" s="2744"/>
      <c r="AU121" s="2744"/>
      <c r="AV121" s="2744"/>
      <c r="AW121" s="2744"/>
      <c r="AX121" s="2745"/>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97" t="s">
        <v>2052</v>
      </c>
      <c r="C125" s="2698"/>
      <c r="D125" s="2698"/>
      <c r="E125" s="2698"/>
      <c r="F125" s="2698"/>
      <c r="G125" s="2698"/>
      <c r="H125" s="2698"/>
      <c r="I125" s="2698"/>
      <c r="J125" s="2698"/>
      <c r="K125" s="2698"/>
      <c r="L125" s="2698"/>
      <c r="M125" s="2698"/>
      <c r="N125" s="2698"/>
      <c r="O125" s="2698"/>
      <c r="P125" s="2698"/>
      <c r="Q125" s="2698"/>
      <c r="R125" s="2698"/>
      <c r="S125" s="2698"/>
      <c r="T125" s="2698"/>
      <c r="U125" s="2746"/>
      <c r="V125" s="1763"/>
      <c r="W125" s="1765"/>
      <c r="X125" s="2697" t="s">
        <v>2465</v>
      </c>
      <c r="Y125" s="2698"/>
      <c r="Z125" s="2698"/>
      <c r="AA125" s="2698"/>
      <c r="AB125" s="2698"/>
      <c r="AC125" s="2698"/>
      <c r="AD125" s="2698"/>
      <c r="AE125" s="2698"/>
      <c r="AF125" s="2698"/>
      <c r="AG125" s="2698"/>
      <c r="AH125" s="2698"/>
      <c r="AI125" s="2698"/>
      <c r="AJ125" s="2698"/>
      <c r="AK125" s="2698"/>
      <c r="AL125" s="2698"/>
      <c r="AM125" s="2698"/>
      <c r="AN125" s="2698"/>
      <c r="AO125" s="2698"/>
      <c r="AP125" s="2698"/>
      <c r="AQ125" s="2746"/>
      <c r="AR125" s="1763"/>
      <c r="AS125" s="1763"/>
      <c r="AT125" s="1763"/>
      <c r="AU125" s="1763"/>
      <c r="AV125" s="1763"/>
      <c r="AW125" s="1763"/>
      <c r="AX125" s="1763"/>
      <c r="AY125" s="1763"/>
      <c r="AZ125" s="1763"/>
      <c r="BA125" s="1763"/>
      <c r="BB125" s="1763"/>
      <c r="BC125" s="1763"/>
      <c r="BD125" s="1763"/>
      <c r="BE125" s="1769"/>
    </row>
    <row r="126" spans="1:57" ht="15.75" customHeight="1">
      <c r="A126" s="1763"/>
      <c r="B126" s="2708"/>
      <c r="C126" s="2709"/>
      <c r="D126" s="2709"/>
      <c r="E126" s="2709"/>
      <c r="F126" s="2709"/>
      <c r="G126" s="2709"/>
      <c r="H126" s="2710"/>
      <c r="I126" s="2714" t="s">
        <v>2041</v>
      </c>
      <c r="J126" s="2715"/>
      <c r="K126" s="2715"/>
      <c r="L126" s="2715"/>
      <c r="M126" s="2715"/>
      <c r="N126" s="2715"/>
      <c r="O126" s="2716"/>
      <c r="P126" s="2720" t="s">
        <v>2466</v>
      </c>
      <c r="Q126" s="2721"/>
      <c r="R126" s="2721"/>
      <c r="S126" s="2721"/>
      <c r="T126" s="2721"/>
      <c r="U126" s="2722"/>
      <c r="V126" s="1763"/>
      <c r="W126" s="1763"/>
      <c r="X126" s="2708"/>
      <c r="Y126" s="2709"/>
      <c r="Z126" s="2709"/>
      <c r="AA126" s="2709"/>
      <c r="AB126" s="2709"/>
      <c r="AC126" s="2709"/>
      <c r="AD126" s="2710"/>
      <c r="AE126" s="2714" t="s">
        <v>2041</v>
      </c>
      <c r="AF126" s="2715"/>
      <c r="AG126" s="2715"/>
      <c r="AH126" s="2715"/>
      <c r="AI126" s="2715"/>
      <c r="AJ126" s="2715"/>
      <c r="AK126" s="2716"/>
      <c r="AL126" s="2720" t="s">
        <v>2459</v>
      </c>
      <c r="AM126" s="2721"/>
      <c r="AN126" s="2721"/>
      <c r="AO126" s="2721"/>
      <c r="AP126" s="2721"/>
      <c r="AQ126" s="2722"/>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1"/>
      <c r="C127" s="2712"/>
      <c r="D127" s="2712"/>
      <c r="E127" s="2712"/>
      <c r="F127" s="2712"/>
      <c r="G127" s="2712"/>
      <c r="H127" s="2713"/>
      <c r="I127" s="2717"/>
      <c r="J127" s="2718"/>
      <c r="K127" s="2718"/>
      <c r="L127" s="2718"/>
      <c r="M127" s="2718"/>
      <c r="N127" s="2718"/>
      <c r="O127" s="2719"/>
      <c r="P127" s="2723"/>
      <c r="Q127" s="2724"/>
      <c r="R127" s="2724"/>
      <c r="S127" s="2724"/>
      <c r="T127" s="2724"/>
      <c r="U127" s="2725"/>
      <c r="V127" s="1763"/>
      <c r="W127" s="1763"/>
      <c r="X127" s="2711"/>
      <c r="Y127" s="2712"/>
      <c r="Z127" s="2712"/>
      <c r="AA127" s="2712"/>
      <c r="AB127" s="2712"/>
      <c r="AC127" s="2712"/>
      <c r="AD127" s="2713"/>
      <c r="AE127" s="2717"/>
      <c r="AF127" s="2718"/>
      <c r="AG127" s="2718"/>
      <c r="AH127" s="2718"/>
      <c r="AI127" s="2718"/>
      <c r="AJ127" s="2718"/>
      <c r="AK127" s="2719"/>
      <c r="AL127" s="2723"/>
      <c r="AM127" s="2724"/>
      <c r="AN127" s="2724"/>
      <c r="AO127" s="2724"/>
      <c r="AP127" s="2724"/>
      <c r="AQ127" s="2725"/>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1" t="s">
        <v>2440</v>
      </c>
      <c r="C128" s="2692"/>
      <c r="D128" s="2692"/>
      <c r="E128" s="2692"/>
      <c r="F128" s="2692"/>
      <c r="G128" s="2692"/>
      <c r="H128" s="2693"/>
      <c r="I128" s="2694"/>
      <c r="J128" s="2695"/>
      <c r="K128" s="2695"/>
      <c r="L128" s="2695"/>
      <c r="M128" s="2695"/>
      <c r="N128" s="2695"/>
      <c r="O128" s="2696"/>
      <c r="P128" s="2694"/>
      <c r="Q128" s="2695"/>
      <c r="R128" s="2695"/>
      <c r="S128" s="2695"/>
      <c r="T128" s="2695"/>
      <c r="U128" s="2696"/>
      <c r="V128" s="1763"/>
      <c r="W128" s="1763"/>
      <c r="X128" s="2691" t="s">
        <v>2440</v>
      </c>
      <c r="Y128" s="2692"/>
      <c r="Z128" s="2692"/>
      <c r="AA128" s="2692"/>
      <c r="AB128" s="2692"/>
      <c r="AC128" s="2692"/>
      <c r="AD128" s="2693"/>
      <c r="AE128" s="2694"/>
      <c r="AF128" s="2695"/>
      <c r="AG128" s="2695"/>
      <c r="AH128" s="2695"/>
      <c r="AI128" s="2695"/>
      <c r="AJ128" s="2695"/>
      <c r="AK128" s="2696"/>
      <c r="AL128" s="2694"/>
      <c r="AM128" s="2695"/>
      <c r="AN128" s="2695"/>
      <c r="AO128" s="2695"/>
      <c r="AP128" s="2695"/>
      <c r="AQ128" s="2696"/>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1" t="s">
        <v>2441</v>
      </c>
      <c r="C129" s="2692"/>
      <c r="D129" s="2692"/>
      <c r="E129" s="2692"/>
      <c r="F129" s="2692"/>
      <c r="G129" s="2692"/>
      <c r="H129" s="2693"/>
      <c r="I129" s="2694"/>
      <c r="J129" s="2695"/>
      <c r="K129" s="2695"/>
      <c r="L129" s="2695"/>
      <c r="M129" s="2695"/>
      <c r="N129" s="2695"/>
      <c r="O129" s="2696"/>
      <c r="P129" s="2694"/>
      <c r="Q129" s="2695"/>
      <c r="R129" s="2695"/>
      <c r="S129" s="2695"/>
      <c r="T129" s="2695"/>
      <c r="U129" s="2696"/>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97" t="s">
        <v>2442</v>
      </c>
      <c r="D131" s="2698"/>
      <c r="E131" s="2698"/>
      <c r="F131" s="2698"/>
      <c r="G131" s="2698"/>
      <c r="H131" s="2698"/>
      <c r="I131" s="2698"/>
      <c r="J131" s="2698"/>
      <c r="K131" s="2698"/>
      <c r="L131" s="2698"/>
      <c r="M131" s="2698"/>
      <c r="N131" s="2698"/>
      <c r="O131" s="2698"/>
      <c r="P131" s="2698"/>
      <c r="Q131" s="2698"/>
      <c r="R131" s="2698"/>
      <c r="S131" s="2698"/>
      <c r="T131" s="2698"/>
      <c r="U131" s="2698"/>
      <c r="V131" s="2698"/>
      <c r="W131" s="2698"/>
      <c r="X131" s="2698"/>
      <c r="Y131" s="2698"/>
      <c r="Z131" s="2698"/>
      <c r="AA131" s="2698"/>
      <c r="AB131" s="2698"/>
      <c r="AC131" s="2698"/>
      <c r="AD131" s="2698"/>
      <c r="AE131" s="2698"/>
      <c r="AF131" s="2698"/>
      <c r="AG131" s="2699"/>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1" t="s">
        <v>2053</v>
      </c>
      <c r="D132" s="2622"/>
      <c r="E132" s="2622"/>
      <c r="F132" s="2622"/>
      <c r="G132" s="2622"/>
      <c r="H132" s="2622"/>
      <c r="I132" s="2622"/>
      <c r="J132" s="2622"/>
      <c r="K132" s="2622"/>
      <c r="L132" s="2622"/>
      <c r="M132" s="2622"/>
      <c r="N132" s="2622"/>
      <c r="O132" s="2622"/>
      <c r="P132" s="2700"/>
      <c r="Q132" s="2701" t="s">
        <v>2054</v>
      </c>
      <c r="R132" s="2622"/>
      <c r="S132" s="2700"/>
      <c r="T132" s="2702" t="s">
        <v>2443</v>
      </c>
      <c r="U132" s="2703"/>
      <c r="V132" s="2703"/>
      <c r="W132" s="2703"/>
      <c r="X132" s="2703"/>
      <c r="Y132" s="2703"/>
      <c r="Z132" s="2703"/>
      <c r="AA132" s="2704"/>
      <c r="AB132" s="2705" t="s">
        <v>2055</v>
      </c>
      <c r="AC132" s="2706"/>
      <c r="AD132" s="2706"/>
      <c r="AE132" s="2706"/>
      <c r="AF132" s="2706"/>
      <c r="AG132" s="2707"/>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09" t="s">
        <v>2056</v>
      </c>
      <c r="D133" s="2610"/>
      <c r="E133" s="2610"/>
      <c r="F133" s="2610"/>
      <c r="G133" s="2610"/>
      <c r="H133" s="2610"/>
      <c r="I133" s="2610"/>
      <c r="J133" s="2610"/>
      <c r="K133" s="2610"/>
      <c r="L133" s="2610"/>
      <c r="M133" s="2610"/>
      <c r="N133" s="2610"/>
      <c r="O133" s="2610"/>
      <c r="P133" s="2626"/>
      <c r="Q133" s="2683">
        <v>55</v>
      </c>
      <c r="R133" s="2684"/>
      <c r="S133" s="2685"/>
      <c r="T133" s="2686"/>
      <c r="U133" s="2687"/>
      <c r="V133" s="2687"/>
      <c r="W133" s="2687"/>
      <c r="X133" s="2687"/>
      <c r="Y133" s="2687"/>
      <c r="Z133" s="2687"/>
      <c r="AA133" s="2687"/>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09" t="s">
        <v>2057</v>
      </c>
      <c r="D134" s="2610"/>
      <c r="E134" s="2610"/>
      <c r="F134" s="2610"/>
      <c r="G134" s="2610"/>
      <c r="H134" s="2610"/>
      <c r="I134" s="2610"/>
      <c r="J134" s="2610"/>
      <c r="K134" s="2610"/>
      <c r="L134" s="2610"/>
      <c r="M134" s="2610"/>
      <c r="N134" s="2610"/>
      <c r="O134" s="2610"/>
      <c r="P134" s="2626"/>
      <c r="Q134" s="2683">
        <v>55</v>
      </c>
      <c r="R134" s="2684"/>
      <c r="S134" s="2685"/>
      <c r="T134" s="2689"/>
      <c r="U134" s="2690"/>
      <c r="V134" s="2690"/>
      <c r="W134" s="2690"/>
      <c r="X134" s="2690"/>
      <c r="Y134" s="2690"/>
      <c r="Z134" s="2690"/>
      <c r="AA134" s="2690"/>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09" t="s">
        <v>2058</v>
      </c>
      <c r="D135" s="2610"/>
      <c r="E135" s="2610"/>
      <c r="F135" s="2610"/>
      <c r="G135" s="2610"/>
      <c r="H135" s="2610"/>
      <c r="I135" s="2610"/>
      <c r="J135" s="2610"/>
      <c r="K135" s="2610"/>
      <c r="L135" s="2610"/>
      <c r="M135" s="2610"/>
      <c r="N135" s="2610"/>
      <c r="O135" s="2610"/>
      <c r="P135" s="2626"/>
      <c r="Q135" s="2683">
        <v>55</v>
      </c>
      <c r="R135" s="2684"/>
      <c r="S135" s="2685"/>
      <c r="T135" s="2686"/>
      <c r="U135" s="2687"/>
      <c r="V135" s="2687"/>
      <c r="W135" s="2687"/>
      <c r="X135" s="2687"/>
      <c r="Y135" s="2687"/>
      <c r="Z135" s="2687"/>
      <c r="AA135" s="2687"/>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09" t="s">
        <v>2021</v>
      </c>
      <c r="D136" s="2610"/>
      <c r="E136" s="2610"/>
      <c r="F136" s="2610"/>
      <c r="G136" s="2610"/>
      <c r="H136" s="2610"/>
      <c r="I136" s="2610"/>
      <c r="J136" s="2610"/>
      <c r="K136" s="2610"/>
      <c r="L136" s="2610"/>
      <c r="M136" s="2610"/>
      <c r="N136" s="2610"/>
      <c r="O136" s="2610"/>
      <c r="P136" s="2626"/>
      <c r="Q136" s="2683">
        <v>55</v>
      </c>
      <c r="R136" s="2684"/>
      <c r="S136" s="2685"/>
      <c r="T136" s="2686"/>
      <c r="U136" s="2687"/>
      <c r="V136" s="2687"/>
      <c r="W136" s="2687"/>
      <c r="X136" s="2687"/>
      <c r="Y136" s="2687"/>
      <c r="Z136" s="2687"/>
      <c r="AA136" s="2688"/>
      <c r="AB136" s="2680">
        <v>0</v>
      </c>
      <c r="AC136" s="2681"/>
      <c r="AD136" s="2681"/>
      <c r="AE136" s="2681"/>
      <c r="AF136" s="2681"/>
      <c r="AG136" s="2682"/>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68" t="s">
        <v>175</v>
      </c>
      <c r="D137" s="2669"/>
      <c r="E137" s="2669"/>
      <c r="F137" s="2600" t="s">
        <v>2059</v>
      </c>
      <c r="G137" s="2600"/>
      <c r="H137" s="2600"/>
      <c r="I137" s="2600"/>
      <c r="J137" s="2600"/>
      <c r="K137" s="2600"/>
      <c r="L137" s="2600"/>
      <c r="M137" s="2600"/>
      <c r="N137" s="2600"/>
      <c r="O137" s="2600"/>
      <c r="P137" s="2600"/>
      <c r="Q137" s="2670">
        <v>55</v>
      </c>
      <c r="R137" s="2670"/>
      <c r="S137" s="2670"/>
      <c r="T137" s="2671"/>
      <c r="U137" s="2671"/>
      <c r="V137" s="2671"/>
      <c r="W137" s="2671"/>
      <c r="X137" s="2671"/>
      <c r="Y137" s="2671"/>
      <c r="Z137" s="2671"/>
      <c r="AA137" s="2671"/>
      <c r="AB137" s="2672">
        <v>0</v>
      </c>
      <c r="AC137" s="2673"/>
      <c r="AD137" s="2673"/>
      <c r="AE137" s="2673"/>
      <c r="AF137" s="2673"/>
      <c r="AG137" s="2674"/>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68" t="s">
        <v>175</v>
      </c>
      <c r="D138" s="2669"/>
      <c r="E138" s="2669"/>
      <c r="F138" s="2600" t="s">
        <v>2059</v>
      </c>
      <c r="G138" s="2600"/>
      <c r="H138" s="2600"/>
      <c r="I138" s="2600"/>
      <c r="J138" s="2600"/>
      <c r="K138" s="2600"/>
      <c r="L138" s="2600"/>
      <c r="M138" s="2600"/>
      <c r="N138" s="2600"/>
      <c r="O138" s="2600"/>
      <c r="P138" s="2600"/>
      <c r="Q138" s="2670">
        <v>55</v>
      </c>
      <c r="R138" s="2670"/>
      <c r="S138" s="2670"/>
      <c r="T138" s="2671"/>
      <c r="U138" s="2671"/>
      <c r="V138" s="2671"/>
      <c r="W138" s="2671"/>
      <c r="X138" s="2671"/>
      <c r="Y138" s="2671"/>
      <c r="Z138" s="2671"/>
      <c r="AA138" s="2671"/>
      <c r="AB138" s="2672">
        <v>0</v>
      </c>
      <c r="AC138" s="2673"/>
      <c r="AD138" s="2673"/>
      <c r="AE138" s="2673"/>
      <c r="AF138" s="2673"/>
      <c r="AG138" s="2674"/>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68" t="s">
        <v>175</v>
      </c>
      <c r="D139" s="2669"/>
      <c r="E139" s="2669"/>
      <c r="F139" s="2591" t="s">
        <v>2059</v>
      </c>
      <c r="G139" s="2591"/>
      <c r="H139" s="2591"/>
      <c r="I139" s="2591"/>
      <c r="J139" s="2591"/>
      <c r="K139" s="2591"/>
      <c r="L139" s="2591"/>
      <c r="M139" s="2591"/>
      <c r="N139" s="2591"/>
      <c r="O139" s="2591"/>
      <c r="P139" s="2591"/>
      <c r="Q139" s="2675">
        <v>55</v>
      </c>
      <c r="R139" s="2675"/>
      <c r="S139" s="2675"/>
      <c r="T139" s="2676"/>
      <c r="U139" s="2676"/>
      <c r="V139" s="2676"/>
      <c r="W139" s="2676"/>
      <c r="X139" s="2676"/>
      <c r="Y139" s="2676"/>
      <c r="Z139" s="2676"/>
      <c r="AA139" s="2676"/>
      <c r="AB139" s="2677">
        <v>0</v>
      </c>
      <c r="AC139" s="2678"/>
      <c r="AD139" s="2678"/>
      <c r="AE139" s="2678"/>
      <c r="AF139" s="2678"/>
      <c r="AG139" s="2679"/>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3" t="s">
        <v>2060</v>
      </c>
      <c r="D141" s="2654"/>
      <c r="E141" s="2654"/>
      <c r="F141" s="2654"/>
      <c r="G141" s="2654"/>
      <c r="H141" s="2654"/>
      <c r="I141" s="2654"/>
      <c r="J141" s="2654"/>
      <c r="K141" s="2654"/>
      <c r="L141" s="2654"/>
      <c r="M141" s="2654"/>
      <c r="N141" s="2655"/>
      <c r="O141" s="1763"/>
      <c r="P141" s="2656" t="s">
        <v>2061</v>
      </c>
      <c r="Q141" s="2657"/>
      <c r="R141" s="2657"/>
      <c r="S141" s="2657"/>
      <c r="T141" s="2657"/>
      <c r="U141" s="2657"/>
      <c r="V141" s="2657"/>
      <c r="W141" s="2657"/>
      <c r="X141" s="2657"/>
      <c r="Y141" s="2657"/>
      <c r="Z141" s="2657"/>
      <c r="AA141" s="2657"/>
      <c r="AB141" s="2657"/>
      <c r="AC141" s="2657"/>
      <c r="AD141" s="2657"/>
      <c r="AE141" s="2657"/>
      <c r="AF141" s="2657"/>
      <c r="AG141" s="2657"/>
      <c r="AH141" s="2657"/>
      <c r="AI141" s="2657"/>
      <c r="AJ141" s="2657"/>
      <c r="AK141" s="2657"/>
      <c r="AL141" s="2657"/>
      <c r="AM141" s="2657"/>
      <c r="AN141" s="2657"/>
      <c r="AO141" s="2658"/>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59" t="s">
        <v>2062</v>
      </c>
      <c r="D142" s="2660"/>
      <c r="E142" s="2660"/>
      <c r="F142" s="2660"/>
      <c r="G142" s="2660"/>
      <c r="H142" s="2661"/>
      <c r="I142" s="2659" t="s">
        <v>2063</v>
      </c>
      <c r="J142" s="2660"/>
      <c r="K142" s="2660"/>
      <c r="L142" s="2660"/>
      <c r="M142" s="2660"/>
      <c r="N142" s="2661"/>
      <c r="O142" s="1763"/>
      <c r="P142" s="2662" t="s">
        <v>2457</v>
      </c>
      <c r="Q142" s="2663"/>
      <c r="R142" s="2663"/>
      <c r="S142" s="2663"/>
      <c r="T142" s="2663"/>
      <c r="U142" s="2663"/>
      <c r="V142" s="2663"/>
      <c r="W142" s="2663"/>
      <c r="X142" s="2663"/>
      <c r="Y142" s="2663"/>
      <c r="Z142" s="2663"/>
      <c r="AA142" s="2663"/>
      <c r="AB142" s="2663"/>
      <c r="AC142" s="2663"/>
      <c r="AD142" s="2663"/>
      <c r="AE142" s="2663"/>
      <c r="AF142" s="2663"/>
      <c r="AG142" s="2663"/>
      <c r="AH142" s="2663"/>
      <c r="AI142" s="2663"/>
      <c r="AJ142" s="2663"/>
      <c r="AK142" s="2663"/>
      <c r="AL142" s="2663"/>
      <c r="AM142" s="2663"/>
      <c r="AN142" s="2663"/>
      <c r="AO142" s="2664"/>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3"/>
      <c r="D143" s="2643"/>
      <c r="E143" s="2643"/>
      <c r="F143" s="2643"/>
      <c r="G143" s="2643"/>
      <c r="H143" s="2643"/>
      <c r="I143" s="2644"/>
      <c r="J143" s="2644"/>
      <c r="K143" s="2644"/>
      <c r="L143" s="2644"/>
      <c r="M143" s="2644"/>
      <c r="N143" s="2644"/>
      <c r="O143" s="1763"/>
      <c r="P143" s="2662"/>
      <c r="Q143" s="2663"/>
      <c r="R143" s="2663"/>
      <c r="S143" s="2663"/>
      <c r="T143" s="2663"/>
      <c r="U143" s="2663"/>
      <c r="V143" s="2663"/>
      <c r="W143" s="2663"/>
      <c r="X143" s="2663"/>
      <c r="Y143" s="2663"/>
      <c r="Z143" s="2663"/>
      <c r="AA143" s="2663"/>
      <c r="AB143" s="2663"/>
      <c r="AC143" s="2663"/>
      <c r="AD143" s="2663"/>
      <c r="AE143" s="2663"/>
      <c r="AF143" s="2663"/>
      <c r="AG143" s="2663"/>
      <c r="AH143" s="2663"/>
      <c r="AI143" s="2663"/>
      <c r="AJ143" s="2663"/>
      <c r="AK143" s="2663"/>
      <c r="AL143" s="2663"/>
      <c r="AM143" s="2663"/>
      <c r="AN143" s="2663"/>
      <c r="AO143" s="2664"/>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3"/>
      <c r="D144" s="2643"/>
      <c r="E144" s="2643"/>
      <c r="F144" s="2643"/>
      <c r="G144" s="2643"/>
      <c r="H144" s="2643"/>
      <c r="I144" s="2644"/>
      <c r="J144" s="2644"/>
      <c r="K144" s="2644"/>
      <c r="L144" s="2644"/>
      <c r="M144" s="2644"/>
      <c r="N144" s="2644"/>
      <c r="O144" s="1763"/>
      <c r="P144" s="2662"/>
      <c r="Q144" s="2663"/>
      <c r="R144" s="2663"/>
      <c r="S144" s="2663"/>
      <c r="T144" s="2663"/>
      <c r="U144" s="2663"/>
      <c r="V144" s="2663"/>
      <c r="W144" s="2663"/>
      <c r="X144" s="2663"/>
      <c r="Y144" s="2663"/>
      <c r="Z144" s="2663"/>
      <c r="AA144" s="2663"/>
      <c r="AB144" s="2663"/>
      <c r="AC144" s="2663"/>
      <c r="AD144" s="2663"/>
      <c r="AE144" s="2663"/>
      <c r="AF144" s="2663"/>
      <c r="AG144" s="2663"/>
      <c r="AH144" s="2663"/>
      <c r="AI144" s="2663"/>
      <c r="AJ144" s="2663"/>
      <c r="AK144" s="2663"/>
      <c r="AL144" s="2663"/>
      <c r="AM144" s="2663"/>
      <c r="AN144" s="2663"/>
      <c r="AO144" s="2664"/>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3"/>
      <c r="D145" s="2643"/>
      <c r="E145" s="2643"/>
      <c r="F145" s="2643"/>
      <c r="G145" s="2643"/>
      <c r="H145" s="2643"/>
      <c r="I145" s="2644"/>
      <c r="J145" s="2644"/>
      <c r="K145" s="2644"/>
      <c r="L145" s="2644"/>
      <c r="M145" s="2644"/>
      <c r="N145" s="2644"/>
      <c r="O145" s="1763"/>
      <c r="P145" s="2662"/>
      <c r="Q145" s="2663"/>
      <c r="R145" s="2663"/>
      <c r="S145" s="2663"/>
      <c r="T145" s="2663"/>
      <c r="U145" s="2663"/>
      <c r="V145" s="2663"/>
      <c r="W145" s="2663"/>
      <c r="X145" s="2663"/>
      <c r="Y145" s="2663"/>
      <c r="Z145" s="2663"/>
      <c r="AA145" s="2663"/>
      <c r="AB145" s="2663"/>
      <c r="AC145" s="2663"/>
      <c r="AD145" s="2663"/>
      <c r="AE145" s="2663"/>
      <c r="AF145" s="2663"/>
      <c r="AG145" s="2663"/>
      <c r="AH145" s="2663"/>
      <c r="AI145" s="2663"/>
      <c r="AJ145" s="2663"/>
      <c r="AK145" s="2663"/>
      <c r="AL145" s="2663"/>
      <c r="AM145" s="2663"/>
      <c r="AN145" s="2663"/>
      <c r="AO145" s="2664"/>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3"/>
      <c r="D146" s="2643"/>
      <c r="E146" s="2643"/>
      <c r="F146" s="2643"/>
      <c r="G146" s="2643"/>
      <c r="H146" s="2643"/>
      <c r="I146" s="2644"/>
      <c r="J146" s="2644"/>
      <c r="K146" s="2644"/>
      <c r="L146" s="2644"/>
      <c r="M146" s="2644"/>
      <c r="N146" s="2644"/>
      <c r="O146" s="1763"/>
      <c r="P146" s="2662"/>
      <c r="Q146" s="2663"/>
      <c r="R146" s="2663"/>
      <c r="S146" s="2663"/>
      <c r="T146" s="2663"/>
      <c r="U146" s="2663"/>
      <c r="V146" s="2663"/>
      <c r="W146" s="2663"/>
      <c r="X146" s="2663"/>
      <c r="Y146" s="2663"/>
      <c r="Z146" s="2663"/>
      <c r="AA146" s="2663"/>
      <c r="AB146" s="2663"/>
      <c r="AC146" s="2663"/>
      <c r="AD146" s="2663"/>
      <c r="AE146" s="2663"/>
      <c r="AF146" s="2663"/>
      <c r="AG146" s="2663"/>
      <c r="AH146" s="2663"/>
      <c r="AI146" s="2663"/>
      <c r="AJ146" s="2663"/>
      <c r="AK146" s="2663"/>
      <c r="AL146" s="2663"/>
      <c r="AM146" s="2663"/>
      <c r="AN146" s="2663"/>
      <c r="AO146" s="2664"/>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3"/>
      <c r="D147" s="2643"/>
      <c r="E147" s="2643"/>
      <c r="F147" s="2643"/>
      <c r="G147" s="2643"/>
      <c r="H147" s="2643"/>
      <c r="I147" s="2644"/>
      <c r="J147" s="2644"/>
      <c r="K147" s="2644"/>
      <c r="L147" s="2644"/>
      <c r="M147" s="2644"/>
      <c r="N147" s="2644"/>
      <c r="O147" s="1763"/>
      <c r="P147" s="2662"/>
      <c r="Q147" s="2663"/>
      <c r="R147" s="2663"/>
      <c r="S147" s="2663"/>
      <c r="T147" s="2663"/>
      <c r="U147" s="2663"/>
      <c r="V147" s="2663"/>
      <c r="W147" s="2663"/>
      <c r="X147" s="2663"/>
      <c r="Y147" s="2663"/>
      <c r="Z147" s="2663"/>
      <c r="AA147" s="2663"/>
      <c r="AB147" s="2663"/>
      <c r="AC147" s="2663"/>
      <c r="AD147" s="2663"/>
      <c r="AE147" s="2663"/>
      <c r="AF147" s="2663"/>
      <c r="AG147" s="2663"/>
      <c r="AH147" s="2663"/>
      <c r="AI147" s="2663"/>
      <c r="AJ147" s="2663"/>
      <c r="AK147" s="2663"/>
      <c r="AL147" s="2663"/>
      <c r="AM147" s="2663"/>
      <c r="AN147" s="2663"/>
      <c r="AO147" s="2664"/>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3"/>
      <c r="D148" s="2643"/>
      <c r="E148" s="2643"/>
      <c r="F148" s="2643"/>
      <c r="G148" s="2643"/>
      <c r="H148" s="2643"/>
      <c r="I148" s="2644"/>
      <c r="J148" s="2644"/>
      <c r="K148" s="2644"/>
      <c r="L148" s="2644"/>
      <c r="M148" s="2644"/>
      <c r="N148" s="2644"/>
      <c r="O148" s="1763"/>
      <c r="P148" s="2662"/>
      <c r="Q148" s="2663"/>
      <c r="R148" s="2663"/>
      <c r="S148" s="2663"/>
      <c r="T148" s="2663"/>
      <c r="U148" s="2663"/>
      <c r="V148" s="2663"/>
      <c r="W148" s="2663"/>
      <c r="X148" s="2663"/>
      <c r="Y148" s="2663"/>
      <c r="Z148" s="2663"/>
      <c r="AA148" s="2663"/>
      <c r="AB148" s="2663"/>
      <c r="AC148" s="2663"/>
      <c r="AD148" s="2663"/>
      <c r="AE148" s="2663"/>
      <c r="AF148" s="2663"/>
      <c r="AG148" s="2663"/>
      <c r="AH148" s="2663"/>
      <c r="AI148" s="2663"/>
      <c r="AJ148" s="2663"/>
      <c r="AK148" s="2663"/>
      <c r="AL148" s="2663"/>
      <c r="AM148" s="2663"/>
      <c r="AN148" s="2663"/>
      <c r="AO148" s="2664"/>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3"/>
      <c r="D149" s="2643"/>
      <c r="E149" s="2643"/>
      <c r="F149" s="2643"/>
      <c r="G149" s="2643"/>
      <c r="H149" s="2643"/>
      <c r="I149" s="2644"/>
      <c r="J149" s="2644"/>
      <c r="K149" s="2644"/>
      <c r="L149" s="2644"/>
      <c r="M149" s="2644"/>
      <c r="N149" s="2644"/>
      <c r="O149" s="1763"/>
      <c r="P149" s="2665"/>
      <c r="Q149" s="2666"/>
      <c r="R149" s="2666"/>
      <c r="S149" s="2666"/>
      <c r="T149" s="2666"/>
      <c r="U149" s="2666"/>
      <c r="V149" s="2666"/>
      <c r="W149" s="2666"/>
      <c r="X149" s="2666"/>
      <c r="Y149" s="2666"/>
      <c r="Z149" s="2666"/>
      <c r="AA149" s="2666"/>
      <c r="AB149" s="2666"/>
      <c r="AC149" s="2666"/>
      <c r="AD149" s="2666"/>
      <c r="AE149" s="2666"/>
      <c r="AF149" s="2666"/>
      <c r="AG149" s="2666"/>
      <c r="AH149" s="2666"/>
      <c r="AI149" s="2666"/>
      <c r="AJ149" s="2666"/>
      <c r="AK149" s="2666"/>
      <c r="AL149" s="2666"/>
      <c r="AM149" s="2666"/>
      <c r="AN149" s="2666"/>
      <c r="AO149" s="2667"/>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45"/>
      <c r="D153" s="2646"/>
      <c r="E153" s="2646"/>
      <c r="F153" s="2646"/>
      <c r="G153" s="2646"/>
      <c r="H153" s="2646"/>
      <c r="I153" s="2646"/>
      <c r="J153" s="2646"/>
      <c r="K153" s="2646"/>
      <c r="L153" s="2646"/>
      <c r="M153" s="2647"/>
      <c r="N153" s="2648" t="s">
        <v>2064</v>
      </c>
      <c r="O153" s="2648"/>
      <c r="P153" s="2648"/>
      <c r="Q153" s="2648"/>
      <c r="R153" s="2648"/>
      <c r="S153" s="2648"/>
      <c r="T153" s="2649"/>
      <c r="U153" s="2650" t="s">
        <v>2053</v>
      </c>
      <c r="V153" s="2651"/>
      <c r="W153" s="2651"/>
      <c r="X153" s="2651"/>
      <c r="Y153" s="2651"/>
      <c r="Z153" s="2651"/>
      <c r="AA153" s="2651"/>
      <c r="AB153" s="2651"/>
      <c r="AC153" s="2651"/>
      <c r="AD153" s="2651"/>
      <c r="AE153" s="2652"/>
      <c r="AF153" s="1763"/>
      <c r="AG153" s="1763"/>
      <c r="AH153" s="2612" t="s">
        <v>2065</v>
      </c>
      <c r="AI153" s="2613"/>
      <c r="AJ153" s="2613"/>
      <c r="AK153" s="2613"/>
      <c r="AL153" s="2613"/>
      <c r="AM153" s="2613"/>
      <c r="AN153" s="2613"/>
      <c r="AO153" s="2613"/>
      <c r="AP153" s="2613"/>
      <c r="AQ153" s="2613"/>
      <c r="AR153" s="2613"/>
      <c r="AS153" s="2627">
        <v>6500000</v>
      </c>
      <c r="AT153" s="2627"/>
      <c r="AU153" s="2627"/>
      <c r="AV153" s="2627"/>
      <c r="AW153" s="2627"/>
      <c r="AX153" s="1763"/>
      <c r="AY153" s="1763"/>
      <c r="AZ153" s="1763"/>
      <c r="BA153" s="1763"/>
      <c r="BB153" s="1763"/>
      <c r="BC153" s="1763"/>
      <c r="BD153" s="1763"/>
      <c r="BE153" s="1769"/>
    </row>
    <row r="154" spans="1:57" ht="15.75" customHeight="1">
      <c r="A154" s="1763"/>
      <c r="B154" s="1763"/>
      <c r="C154" s="2621" t="s">
        <v>2066</v>
      </c>
      <c r="D154" s="2622"/>
      <c r="E154" s="2622"/>
      <c r="F154" s="2622"/>
      <c r="G154" s="2622"/>
      <c r="H154" s="2622"/>
      <c r="I154" s="2622"/>
      <c r="J154" s="2622"/>
      <c r="K154" s="2622"/>
      <c r="L154" s="2622"/>
      <c r="M154" s="2623"/>
      <c r="N154" s="2624">
        <f>'Sources and Uses Budget'!B105</f>
        <v>110595624</v>
      </c>
      <c r="O154" s="2624"/>
      <c r="P154" s="2624"/>
      <c r="Q154" s="2624"/>
      <c r="R154" s="2624"/>
      <c r="S154" s="2624"/>
      <c r="T154" s="2625"/>
      <c r="U154" s="2634"/>
      <c r="V154" s="2635"/>
      <c r="W154" s="2635"/>
      <c r="X154" s="2635"/>
      <c r="Y154" s="2635"/>
      <c r="Z154" s="2635"/>
      <c r="AA154" s="2635"/>
      <c r="AB154" s="2635"/>
      <c r="AC154" s="2635"/>
      <c r="AD154" s="2635"/>
      <c r="AE154" s="2640"/>
      <c r="AF154" s="1763"/>
      <c r="AG154" s="1763"/>
      <c r="AH154" s="2641" t="s">
        <v>2067</v>
      </c>
      <c r="AI154" s="2642"/>
      <c r="AJ154" s="2642"/>
      <c r="AK154" s="2642"/>
      <c r="AL154" s="2642"/>
      <c r="AM154" s="2642"/>
      <c r="AN154" s="2642"/>
      <c r="AO154" s="2642"/>
      <c r="AP154" s="2642"/>
      <c r="AQ154" s="2642"/>
      <c r="AR154" s="2642"/>
      <c r="AS154" s="2627">
        <v>0</v>
      </c>
      <c r="AT154" s="2627"/>
      <c r="AU154" s="2627"/>
      <c r="AV154" s="2627"/>
      <c r="AW154" s="2627"/>
      <c r="AX154" s="1763"/>
      <c r="AY154" s="1763"/>
      <c r="AZ154" s="1763"/>
      <c r="BA154" s="1763"/>
      <c r="BB154" s="1763"/>
      <c r="BC154" s="1763"/>
      <c r="BD154" s="1763"/>
      <c r="BE154" s="1769"/>
    </row>
    <row r="155" spans="1:57" ht="15.75" customHeight="1">
      <c r="A155" s="1763"/>
      <c r="B155" s="1763"/>
      <c r="C155" s="2621" t="s">
        <v>2068</v>
      </c>
      <c r="D155" s="2622"/>
      <c r="E155" s="2622"/>
      <c r="F155" s="2622"/>
      <c r="G155" s="2622"/>
      <c r="H155" s="2622"/>
      <c r="I155" s="2622"/>
      <c r="J155" s="2622"/>
      <c r="K155" s="2622"/>
      <c r="L155" s="2622"/>
      <c r="M155" s="2623"/>
      <c r="N155" s="2624">
        <f>N154/J29</f>
        <v>376175.59183673467</v>
      </c>
      <c r="O155" s="2624"/>
      <c r="P155" s="2624"/>
      <c r="Q155" s="2624"/>
      <c r="R155" s="2624"/>
      <c r="S155" s="2624"/>
      <c r="T155" s="2625"/>
      <c r="U155" s="1786"/>
      <c r="V155" s="1786"/>
      <c r="W155" s="1786"/>
      <c r="X155" s="1786"/>
      <c r="Y155" s="1786"/>
      <c r="Z155" s="1786"/>
      <c r="AA155" s="1786"/>
      <c r="AB155" s="1786"/>
      <c r="AC155" s="1786"/>
      <c r="AD155" s="1786"/>
      <c r="AE155" s="1787"/>
      <c r="AF155" s="1763"/>
      <c r="AG155" s="1763"/>
      <c r="AH155" s="2609" t="s">
        <v>2069</v>
      </c>
      <c r="AI155" s="2610"/>
      <c r="AJ155" s="2610"/>
      <c r="AK155" s="2610"/>
      <c r="AL155" s="2610"/>
      <c r="AM155" s="2610"/>
      <c r="AN155" s="2610"/>
      <c r="AO155" s="2610"/>
      <c r="AP155" s="2610"/>
      <c r="AQ155" s="2610"/>
      <c r="AR155" s="2626"/>
      <c r="AS155" s="2627">
        <v>2500000</v>
      </c>
      <c r="AT155" s="2627"/>
      <c r="AU155" s="2627"/>
      <c r="AV155" s="2627"/>
      <c r="AW155" s="2627"/>
      <c r="AX155" s="1763"/>
      <c r="AY155" s="1763"/>
      <c r="AZ155" s="1763"/>
      <c r="BA155" s="1763"/>
      <c r="BB155" s="1763"/>
      <c r="BC155" s="1763"/>
      <c r="BD155" s="1763"/>
      <c r="BE155" s="1769"/>
    </row>
    <row r="156" spans="1:57" ht="15.75" customHeight="1">
      <c r="A156" s="1763"/>
      <c r="B156" s="1763"/>
      <c r="C156" s="2628" t="s">
        <v>2070</v>
      </c>
      <c r="D156" s="2629"/>
      <c r="E156" s="2629"/>
      <c r="F156" s="2629"/>
      <c r="G156" s="2629"/>
      <c r="H156" s="2629"/>
      <c r="I156" s="2629"/>
      <c r="J156" s="2629"/>
      <c r="K156" s="2629"/>
      <c r="L156" s="2629"/>
      <c r="M156" s="2630"/>
      <c r="N156" s="2631">
        <v>0</v>
      </c>
      <c r="O156" s="2631"/>
      <c r="P156" s="2631"/>
      <c r="Q156" s="2631"/>
      <c r="R156" s="2631"/>
      <c r="S156" s="2631"/>
      <c r="T156" s="2632"/>
      <c r="U156" s="2598"/>
      <c r="V156" s="2599"/>
      <c r="W156" s="2599"/>
      <c r="X156" s="2599"/>
      <c r="Y156" s="2599"/>
      <c r="Z156" s="2599"/>
      <c r="AA156" s="2599"/>
      <c r="AB156" s="2599"/>
      <c r="AC156" s="2599"/>
      <c r="AD156" s="2599"/>
      <c r="AE156" s="2633"/>
      <c r="AF156" s="1763"/>
      <c r="AG156" s="1763"/>
      <c r="AH156" s="2634"/>
      <c r="AI156" s="2635"/>
      <c r="AJ156" s="2635"/>
      <c r="AK156" s="2635"/>
      <c r="AL156" s="2635"/>
      <c r="AM156" s="2635"/>
      <c r="AN156" s="2635"/>
      <c r="AO156" s="2635"/>
      <c r="AP156" s="2635"/>
      <c r="AQ156" s="2635"/>
      <c r="AR156" s="2636"/>
      <c r="AS156" s="2637"/>
      <c r="AT156" s="2638"/>
      <c r="AU156" s="2638"/>
      <c r="AV156" s="2638"/>
      <c r="AW156" s="2639"/>
      <c r="AX156" s="1763"/>
      <c r="AY156" s="1763"/>
      <c r="AZ156" s="1763"/>
      <c r="BA156" s="1763"/>
      <c r="BB156" s="1763"/>
      <c r="BC156" s="1763"/>
      <c r="BD156" s="1763"/>
      <c r="BE156" s="1769"/>
    </row>
    <row r="157" spans="1:57" ht="15.75" customHeight="1" thickBot="1">
      <c r="A157" s="1763"/>
      <c r="B157" s="1763"/>
      <c r="C157" s="2609" t="s">
        <v>2071</v>
      </c>
      <c r="D157" s="2610"/>
      <c r="E157" s="2610"/>
      <c r="F157" s="2610"/>
      <c r="G157" s="2610"/>
      <c r="H157" s="2610"/>
      <c r="I157" s="2610"/>
      <c r="J157" s="2610"/>
      <c r="K157" s="2610"/>
      <c r="L157" s="2610"/>
      <c r="M157" s="2611"/>
      <c r="N157" s="2616">
        <f>SUM('Sources and Uses Budget'!B85:B86)</f>
        <v>14256525</v>
      </c>
      <c r="O157" s="2616"/>
      <c r="P157" s="2616"/>
      <c r="Q157" s="2616"/>
      <c r="R157" s="2616"/>
      <c r="S157" s="2616"/>
      <c r="T157" s="2617"/>
      <c r="U157" s="2604"/>
      <c r="V157" s="2605"/>
      <c r="W157" s="2605"/>
      <c r="X157" s="2605"/>
      <c r="Y157" s="2605"/>
      <c r="Z157" s="2605"/>
      <c r="AA157" s="2605"/>
      <c r="AB157" s="2605"/>
      <c r="AC157" s="2605"/>
      <c r="AD157" s="2605"/>
      <c r="AE157" s="2606"/>
      <c r="AF157" s="1763"/>
      <c r="AG157" s="1763"/>
      <c r="AH157" s="2618" t="s">
        <v>2467</v>
      </c>
      <c r="AI157" s="2619"/>
      <c r="AJ157" s="2619"/>
      <c r="AK157" s="2619"/>
      <c r="AL157" s="2619"/>
      <c r="AM157" s="2619"/>
      <c r="AN157" s="2619"/>
      <c r="AO157" s="2619"/>
      <c r="AP157" s="2619"/>
      <c r="AQ157" s="2619"/>
      <c r="AR157" s="2619"/>
      <c r="AS157" s="2620">
        <f>SUM(AS153:AW155)</f>
        <v>9000000</v>
      </c>
      <c r="AT157" s="2620"/>
      <c r="AU157" s="2620"/>
      <c r="AV157" s="2620"/>
      <c r="AW157" s="2620"/>
      <c r="AX157" s="1763"/>
      <c r="AY157" s="1763"/>
      <c r="AZ157" s="1763"/>
      <c r="BA157" s="1763"/>
      <c r="BB157" s="1763"/>
      <c r="BC157" s="1763"/>
      <c r="BD157" s="1763"/>
      <c r="BE157" s="1769"/>
    </row>
    <row r="158" spans="1:57" ht="15.75" customHeight="1" thickBot="1">
      <c r="A158" s="1763"/>
      <c r="B158" s="1763"/>
      <c r="C158" s="2609" t="s">
        <v>2073</v>
      </c>
      <c r="D158" s="2610"/>
      <c r="E158" s="2610"/>
      <c r="F158" s="2610"/>
      <c r="G158" s="2610"/>
      <c r="H158" s="2610"/>
      <c r="I158" s="2610"/>
      <c r="J158" s="2610"/>
      <c r="K158" s="2610"/>
      <c r="L158" s="2610"/>
      <c r="M158" s="2611"/>
      <c r="N158" s="2616">
        <f>'Sources and Uses Budget'!B8</f>
        <v>2305000</v>
      </c>
      <c r="O158" s="2616"/>
      <c r="P158" s="2616"/>
      <c r="Q158" s="2616"/>
      <c r="R158" s="2616"/>
      <c r="S158" s="2616"/>
      <c r="T158" s="2617"/>
      <c r="U158" s="2604"/>
      <c r="V158" s="2605"/>
      <c r="W158" s="2605"/>
      <c r="X158" s="2605"/>
      <c r="Y158" s="2605"/>
      <c r="Z158" s="2605"/>
      <c r="AA158" s="2605"/>
      <c r="AB158" s="2605"/>
      <c r="AC158" s="2605"/>
      <c r="AD158" s="2605"/>
      <c r="AE158" s="260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09" t="s">
        <v>2074</v>
      </c>
      <c r="D159" s="2610"/>
      <c r="E159" s="2610"/>
      <c r="F159" s="2610"/>
      <c r="G159" s="2610"/>
      <c r="H159" s="2610"/>
      <c r="I159" s="2610"/>
      <c r="J159" s="2610"/>
      <c r="K159" s="2610"/>
      <c r="L159" s="2610"/>
      <c r="M159" s="2611"/>
      <c r="N159" s="2602">
        <v>0</v>
      </c>
      <c r="O159" s="2602"/>
      <c r="P159" s="2602"/>
      <c r="Q159" s="2602"/>
      <c r="R159" s="2602"/>
      <c r="S159" s="2602"/>
      <c r="T159" s="2603"/>
      <c r="U159" s="2604"/>
      <c r="V159" s="2605"/>
      <c r="W159" s="2605"/>
      <c r="X159" s="2605"/>
      <c r="Y159" s="2605"/>
      <c r="Z159" s="2605"/>
      <c r="AA159" s="2605"/>
      <c r="AB159" s="2605"/>
      <c r="AC159" s="2605"/>
      <c r="AD159" s="2605"/>
      <c r="AE159" s="2606"/>
      <c r="AF159" s="1763"/>
      <c r="AG159" s="1763"/>
      <c r="AH159" s="2612" t="s">
        <v>2468</v>
      </c>
      <c r="AI159" s="2613"/>
      <c r="AJ159" s="2613"/>
      <c r="AK159" s="2613"/>
      <c r="AL159" s="2613"/>
      <c r="AM159" s="2613"/>
      <c r="AN159" s="2613"/>
      <c r="AO159" s="2613"/>
      <c r="AP159" s="2613"/>
      <c r="AQ159" s="2613"/>
      <c r="AR159" s="2613"/>
      <c r="AS159" s="2614" t="s">
        <v>2469</v>
      </c>
      <c r="AT159" s="2614"/>
      <c r="AU159" s="2614"/>
      <c r="AV159" s="2614"/>
      <c r="AW159" s="2614"/>
      <c r="AX159" s="2614"/>
      <c r="AY159" s="2614" t="s">
        <v>2470</v>
      </c>
      <c r="AZ159" s="2614"/>
      <c r="BA159" s="2614"/>
      <c r="BB159" s="2614"/>
      <c r="BC159" s="2614"/>
      <c r="BD159" s="2615"/>
      <c r="BE159" s="1769"/>
    </row>
    <row r="160" spans="1:57" ht="15.75" customHeight="1">
      <c r="A160" s="1763"/>
      <c r="B160" s="1763"/>
      <c r="C160" s="2609" t="s">
        <v>2067</v>
      </c>
      <c r="D160" s="2610"/>
      <c r="E160" s="2610"/>
      <c r="F160" s="2610"/>
      <c r="G160" s="2610"/>
      <c r="H160" s="2610"/>
      <c r="I160" s="2610"/>
      <c r="J160" s="2610"/>
      <c r="K160" s="2610"/>
      <c r="L160" s="2610"/>
      <c r="M160" s="2611"/>
      <c r="N160" s="2602">
        <v>0</v>
      </c>
      <c r="O160" s="2602"/>
      <c r="P160" s="2602"/>
      <c r="Q160" s="2602"/>
      <c r="R160" s="2602"/>
      <c r="S160" s="2602"/>
      <c r="T160" s="2603"/>
      <c r="U160" s="2604"/>
      <c r="V160" s="2605"/>
      <c r="W160" s="2605"/>
      <c r="X160" s="2605"/>
      <c r="Y160" s="2605"/>
      <c r="Z160" s="2605"/>
      <c r="AA160" s="2605"/>
      <c r="AB160" s="2605"/>
      <c r="AC160" s="2605"/>
      <c r="AD160" s="2605"/>
      <c r="AE160" s="2606"/>
      <c r="AF160" s="1763"/>
      <c r="AG160" s="1763"/>
      <c r="AH160" s="2575" t="s">
        <v>2471</v>
      </c>
      <c r="AI160" s="2576"/>
      <c r="AJ160" s="2576"/>
      <c r="AK160" s="2576"/>
      <c r="AL160" s="2576"/>
      <c r="AM160" s="2576"/>
      <c r="AN160" s="2576"/>
      <c r="AO160" s="2576"/>
      <c r="AP160" s="2576"/>
      <c r="AQ160" s="2576"/>
      <c r="AR160" s="2576"/>
      <c r="AS160" s="2577">
        <v>1000000</v>
      </c>
      <c r="AT160" s="2577"/>
      <c r="AU160" s="2577"/>
      <c r="AV160" s="2577"/>
      <c r="AW160" s="2577"/>
      <c r="AX160" s="2577"/>
      <c r="AY160" s="2577">
        <v>500000</v>
      </c>
      <c r="AZ160" s="2577"/>
      <c r="BA160" s="2577"/>
      <c r="BB160" s="2577"/>
      <c r="BC160" s="2577"/>
      <c r="BD160" s="2578"/>
      <c r="BE160" s="1769"/>
    </row>
    <row r="161" spans="1:57" ht="15.75" customHeight="1">
      <c r="A161" s="1763"/>
      <c r="B161" s="1763"/>
      <c r="C161" s="2607" t="s">
        <v>308</v>
      </c>
      <c r="D161" s="2608"/>
      <c r="E161" s="2600" t="s">
        <v>2059</v>
      </c>
      <c r="F161" s="2600"/>
      <c r="G161" s="2600"/>
      <c r="H161" s="2600"/>
      <c r="I161" s="2600"/>
      <c r="J161" s="2600"/>
      <c r="K161" s="2600"/>
      <c r="L161" s="2600"/>
      <c r="M161" s="2601"/>
      <c r="N161" s="2602">
        <v>0</v>
      </c>
      <c r="O161" s="2602"/>
      <c r="P161" s="2602"/>
      <c r="Q161" s="2602"/>
      <c r="R161" s="2602"/>
      <c r="S161" s="2602"/>
      <c r="T161" s="2603"/>
      <c r="U161" s="2604"/>
      <c r="V161" s="2605"/>
      <c r="W161" s="2605"/>
      <c r="X161" s="2605"/>
      <c r="Y161" s="2605"/>
      <c r="Z161" s="2605"/>
      <c r="AA161" s="2605"/>
      <c r="AB161" s="2605"/>
      <c r="AC161" s="2605"/>
      <c r="AD161" s="2605"/>
      <c r="AE161" s="2606"/>
      <c r="AF161" s="1763"/>
      <c r="AG161" s="1763"/>
      <c r="AH161" s="2575" t="s">
        <v>2472</v>
      </c>
      <c r="AI161" s="2576"/>
      <c r="AJ161" s="2576"/>
      <c r="AK161" s="2576"/>
      <c r="AL161" s="2576"/>
      <c r="AM161" s="2576"/>
      <c r="AN161" s="2576"/>
      <c r="AO161" s="2576"/>
      <c r="AP161" s="2576"/>
      <c r="AQ161" s="2576"/>
      <c r="AR161" s="2576"/>
      <c r="AS161" s="2577">
        <v>2000000</v>
      </c>
      <c r="AT161" s="2577"/>
      <c r="AU161" s="2577"/>
      <c r="AV161" s="2577"/>
      <c r="AW161" s="2577"/>
      <c r="AX161" s="2577"/>
      <c r="AY161" s="2577">
        <v>250000</v>
      </c>
      <c r="AZ161" s="2577"/>
      <c r="BA161" s="2577"/>
      <c r="BB161" s="2577"/>
      <c r="BC161" s="2577"/>
      <c r="BD161" s="2578"/>
      <c r="BE161" s="1769"/>
    </row>
    <row r="162" spans="1:57" ht="15.75" customHeight="1">
      <c r="A162" s="1763"/>
      <c r="B162" s="1763"/>
      <c r="C162" s="2598" t="s">
        <v>308</v>
      </c>
      <c r="D162" s="2599"/>
      <c r="E162" s="2600" t="s">
        <v>2059</v>
      </c>
      <c r="F162" s="2600"/>
      <c r="G162" s="2600"/>
      <c r="H162" s="2600"/>
      <c r="I162" s="2600"/>
      <c r="J162" s="2600"/>
      <c r="K162" s="2600"/>
      <c r="L162" s="2600"/>
      <c r="M162" s="2601"/>
      <c r="N162" s="2602">
        <v>0</v>
      </c>
      <c r="O162" s="2602"/>
      <c r="P162" s="2602"/>
      <c r="Q162" s="2602"/>
      <c r="R162" s="2602"/>
      <c r="S162" s="2602"/>
      <c r="T162" s="2603"/>
      <c r="U162" s="2604"/>
      <c r="V162" s="2605"/>
      <c r="W162" s="2605"/>
      <c r="X162" s="2605"/>
      <c r="Y162" s="2605"/>
      <c r="Z162" s="2605"/>
      <c r="AA162" s="2605"/>
      <c r="AB162" s="2605"/>
      <c r="AC162" s="2605"/>
      <c r="AD162" s="2605"/>
      <c r="AE162" s="2606"/>
      <c r="AF162" s="1763"/>
      <c r="AG162" s="1763"/>
      <c r="AH162" s="2575" t="s">
        <v>2473</v>
      </c>
      <c r="AI162" s="2576"/>
      <c r="AJ162" s="2576"/>
      <c r="AK162" s="2576"/>
      <c r="AL162" s="2576"/>
      <c r="AM162" s="2576"/>
      <c r="AN162" s="2576"/>
      <c r="AO162" s="2576"/>
      <c r="AP162" s="2576"/>
      <c r="AQ162" s="2576"/>
      <c r="AR162" s="2576"/>
      <c r="AS162" s="2577">
        <v>25000000</v>
      </c>
      <c r="AT162" s="2577"/>
      <c r="AU162" s="2577"/>
      <c r="AV162" s="2577"/>
      <c r="AW162" s="2577"/>
      <c r="AX162" s="2577"/>
      <c r="AY162" s="2577">
        <v>1500000</v>
      </c>
      <c r="AZ162" s="2577"/>
      <c r="BA162" s="2577"/>
      <c r="BB162" s="2577"/>
      <c r="BC162" s="2577"/>
      <c r="BD162" s="2578"/>
      <c r="BE162" s="1769"/>
    </row>
    <row r="163" spans="1:57" ht="15.75" customHeight="1" thickBot="1">
      <c r="A163" s="1763"/>
      <c r="B163" s="1763"/>
      <c r="C163" s="2589" t="s">
        <v>308</v>
      </c>
      <c r="D163" s="2590"/>
      <c r="E163" s="2591" t="s">
        <v>2059</v>
      </c>
      <c r="F163" s="2591"/>
      <c r="G163" s="2591"/>
      <c r="H163" s="2591"/>
      <c r="I163" s="2591"/>
      <c r="J163" s="2591"/>
      <c r="K163" s="2591"/>
      <c r="L163" s="2591"/>
      <c r="M163" s="2592"/>
      <c r="N163" s="2593">
        <v>0</v>
      </c>
      <c r="O163" s="2593"/>
      <c r="P163" s="2593"/>
      <c r="Q163" s="2593"/>
      <c r="R163" s="2593"/>
      <c r="S163" s="2593"/>
      <c r="T163" s="2594"/>
      <c r="U163" s="2595"/>
      <c r="V163" s="2596"/>
      <c r="W163" s="2596"/>
      <c r="X163" s="2596"/>
      <c r="Y163" s="2596"/>
      <c r="Z163" s="2596"/>
      <c r="AA163" s="2596"/>
      <c r="AB163" s="2596"/>
      <c r="AC163" s="2596"/>
      <c r="AD163" s="2596"/>
      <c r="AE163" s="2597"/>
      <c r="AF163" s="1763"/>
      <c r="AG163" s="1763"/>
      <c r="AH163" s="2575" t="s">
        <v>2474</v>
      </c>
      <c r="AI163" s="2576"/>
      <c r="AJ163" s="2576"/>
      <c r="AK163" s="2576"/>
      <c r="AL163" s="2576"/>
      <c r="AM163" s="2576"/>
      <c r="AN163" s="2576"/>
      <c r="AO163" s="2576"/>
      <c r="AP163" s="2576"/>
      <c r="AQ163" s="2576"/>
      <c r="AR163" s="2576"/>
      <c r="AS163" s="2577">
        <v>1500000</v>
      </c>
      <c r="AT163" s="2577"/>
      <c r="AU163" s="2577"/>
      <c r="AV163" s="2577"/>
      <c r="AW163" s="2577"/>
      <c r="AX163" s="2577"/>
      <c r="AY163" s="2577">
        <v>250000</v>
      </c>
      <c r="AZ163" s="2577"/>
      <c r="BA163" s="2577"/>
      <c r="BB163" s="2577"/>
      <c r="BC163" s="2577"/>
      <c r="BD163" s="2578"/>
      <c r="BE163" s="1769"/>
    </row>
    <row r="164" spans="1:57" ht="15.75" customHeight="1">
      <c r="A164" s="1763"/>
      <c r="B164" s="1763"/>
      <c r="C164" s="2583" t="s">
        <v>2075</v>
      </c>
      <c r="D164" s="2584"/>
      <c r="E164" s="2584"/>
      <c r="F164" s="2584"/>
      <c r="G164" s="2584"/>
      <c r="H164" s="2584"/>
      <c r="I164" s="2584"/>
      <c r="J164" s="2584"/>
      <c r="K164" s="2584"/>
      <c r="L164" s="2584"/>
      <c r="M164" s="2585"/>
      <c r="N164" s="2586">
        <f>SUM(N156:T163)</f>
        <v>16561525</v>
      </c>
      <c r="O164" s="2587"/>
      <c r="P164" s="2587"/>
      <c r="Q164" s="2587"/>
      <c r="R164" s="2587"/>
      <c r="S164" s="2587"/>
      <c r="T164" s="2588"/>
      <c r="U164" s="1763"/>
      <c r="V164" s="1763"/>
      <c r="W164" s="1763"/>
      <c r="X164" s="1763"/>
      <c r="Y164" s="1763"/>
      <c r="Z164" s="1763"/>
      <c r="AA164" s="1763"/>
      <c r="AB164" s="1763"/>
      <c r="AC164" s="1763"/>
      <c r="AD164" s="1763"/>
      <c r="AE164" s="1763"/>
      <c r="AF164" s="1763"/>
      <c r="AG164" s="1763"/>
      <c r="AH164" s="2575" t="s">
        <v>2475</v>
      </c>
      <c r="AI164" s="2576"/>
      <c r="AJ164" s="2576"/>
      <c r="AK164" s="2576"/>
      <c r="AL164" s="2576"/>
      <c r="AM164" s="2576"/>
      <c r="AN164" s="2576"/>
      <c r="AO164" s="2576"/>
      <c r="AP164" s="2576"/>
      <c r="AQ164" s="2576"/>
      <c r="AR164" s="2576"/>
      <c r="AS164" s="2577">
        <v>500000</v>
      </c>
      <c r="AT164" s="2577"/>
      <c r="AU164" s="2577"/>
      <c r="AV164" s="2577"/>
      <c r="AW164" s="2577"/>
      <c r="AX164" s="2577"/>
      <c r="AY164" s="2577">
        <v>0</v>
      </c>
      <c r="AZ164" s="2577"/>
      <c r="BA164" s="2577"/>
      <c r="BB164" s="2577"/>
      <c r="BC164" s="2577"/>
      <c r="BD164" s="2578"/>
      <c r="BE164" s="1769"/>
    </row>
    <row r="165" spans="1:57" ht="15.75" customHeight="1" thickBot="1">
      <c r="A165" s="1763"/>
      <c r="B165" s="1763"/>
      <c r="C165" s="2571" t="s">
        <v>2076</v>
      </c>
      <c r="D165" s="2572"/>
      <c r="E165" s="2572"/>
      <c r="F165" s="2572"/>
      <c r="G165" s="2572"/>
      <c r="H165" s="2572"/>
      <c r="I165" s="2572"/>
      <c r="J165" s="2572"/>
      <c r="K165" s="2572"/>
      <c r="L165" s="2572"/>
      <c r="M165" s="2572"/>
      <c r="N165" s="2573">
        <f>(N154-N164)/J29</f>
        <v>319843.87414965988</v>
      </c>
      <c r="O165" s="2573"/>
      <c r="P165" s="2573"/>
      <c r="Q165" s="2573"/>
      <c r="R165" s="2573"/>
      <c r="S165" s="2573"/>
      <c r="T165" s="2574"/>
      <c r="U165" s="1770"/>
      <c r="V165" s="1763"/>
      <c r="W165" s="1763"/>
      <c r="X165" s="1763"/>
      <c r="Y165" s="1763"/>
      <c r="Z165" s="1763"/>
      <c r="AA165" s="1763"/>
      <c r="AB165" s="1763"/>
      <c r="AC165" s="1763"/>
      <c r="AD165" s="1763"/>
      <c r="AE165" s="1763"/>
      <c r="AF165" s="1763"/>
      <c r="AG165" s="1763"/>
      <c r="AH165" s="2575" t="s">
        <v>2476</v>
      </c>
      <c r="AI165" s="2576"/>
      <c r="AJ165" s="2576"/>
      <c r="AK165" s="2576"/>
      <c r="AL165" s="2576"/>
      <c r="AM165" s="2576"/>
      <c r="AN165" s="2576"/>
      <c r="AO165" s="2576"/>
      <c r="AP165" s="2576"/>
      <c r="AQ165" s="2576"/>
      <c r="AR165" s="2576"/>
      <c r="AS165" s="2577">
        <v>0</v>
      </c>
      <c r="AT165" s="2577"/>
      <c r="AU165" s="2577"/>
      <c r="AV165" s="2577"/>
      <c r="AW165" s="2577"/>
      <c r="AX165" s="2577"/>
      <c r="AY165" s="2577">
        <v>0</v>
      </c>
      <c r="AZ165" s="2577"/>
      <c r="BA165" s="2577"/>
      <c r="BB165" s="2577"/>
      <c r="BC165" s="2577"/>
      <c r="BD165" s="2578"/>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79" t="s">
        <v>2072</v>
      </c>
      <c r="AI166" s="2580"/>
      <c r="AJ166" s="2580"/>
      <c r="AK166" s="2580"/>
      <c r="AL166" s="2580"/>
      <c r="AM166" s="2580"/>
      <c r="AN166" s="2580"/>
      <c r="AO166" s="2580"/>
      <c r="AP166" s="2580"/>
      <c r="AQ166" s="2580"/>
      <c r="AR166" s="2580"/>
      <c r="AS166" s="2581">
        <f>SUM(AS160:AX165)</f>
        <v>30000000</v>
      </c>
      <c r="AT166" s="2581"/>
      <c r="AU166" s="2581"/>
      <c r="AV166" s="2581"/>
      <c r="AW166" s="2581"/>
      <c r="AX166" s="2581"/>
      <c r="AY166" s="2581">
        <f>SUM(AY160:BD165)</f>
        <v>2500000</v>
      </c>
      <c r="AZ166" s="2581"/>
      <c r="BA166" s="2581"/>
      <c r="BB166" s="2581"/>
      <c r="BC166" s="2581"/>
      <c r="BD166" s="2582"/>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58" t="s">
        <v>2077</v>
      </c>
      <c r="C168" s="2559"/>
      <c r="D168" s="2559"/>
      <c r="E168" s="2559"/>
      <c r="F168" s="2559"/>
      <c r="G168" s="2559"/>
      <c r="H168" s="2559"/>
      <c r="I168" s="2559"/>
      <c r="J168" s="2559"/>
      <c r="K168" s="2559"/>
      <c r="L168" s="2559"/>
      <c r="M168" s="2559"/>
      <c r="N168" s="2559"/>
      <c r="O168" s="2559"/>
      <c r="P168" s="2559"/>
      <c r="Q168" s="2559"/>
      <c r="R168" s="2559"/>
      <c r="S168" s="2559"/>
      <c r="T168" s="2559"/>
      <c r="U168" s="2559"/>
      <c r="V168" s="2559"/>
      <c r="W168" s="2559"/>
      <c r="X168" s="2559"/>
      <c r="Y168" s="2559"/>
      <c r="Z168" s="2559"/>
      <c r="AA168" s="2559"/>
      <c r="AB168" s="2559"/>
      <c r="AC168" s="2559"/>
      <c r="AD168" s="2559"/>
      <c r="AE168" s="2559"/>
      <c r="AF168" s="2559"/>
      <c r="AG168" s="2559"/>
      <c r="AH168" s="2559"/>
      <c r="AI168" s="2559"/>
      <c r="AJ168" s="2559"/>
      <c r="AK168" s="2559"/>
      <c r="AL168" s="2559"/>
      <c r="AM168" s="2559"/>
      <c r="AN168" s="2559"/>
      <c r="AO168" s="2559"/>
      <c r="AP168" s="2559"/>
      <c r="AQ168" s="2559"/>
      <c r="AR168" s="2559"/>
      <c r="AS168" s="2559"/>
      <c r="AT168" s="2559"/>
      <c r="AU168" s="2559"/>
      <c r="AV168" s="2559"/>
      <c r="AW168" s="2559"/>
      <c r="AX168" s="2559"/>
      <c r="AY168" s="2559"/>
      <c r="AZ168" s="2559"/>
      <c r="BA168" s="2559"/>
      <c r="BB168" s="2559"/>
      <c r="BC168" s="2559"/>
      <c r="BD168" s="2560"/>
      <c r="BE168" s="1769"/>
    </row>
    <row r="169" spans="1:57" ht="15.75" customHeight="1">
      <c r="A169" s="1763"/>
      <c r="B169" s="2561"/>
      <c r="C169" s="2562"/>
      <c r="D169" s="2562"/>
      <c r="E169" s="2562"/>
      <c r="F169" s="2562"/>
      <c r="G169" s="2562"/>
      <c r="H169" s="2562"/>
      <c r="I169" s="2562"/>
      <c r="J169" s="2562"/>
      <c r="K169" s="2562"/>
      <c r="L169" s="2562"/>
      <c r="M169" s="2562"/>
      <c r="N169" s="2562"/>
      <c r="O169" s="2562"/>
      <c r="P169" s="2562"/>
      <c r="Q169" s="2562"/>
      <c r="R169" s="2562"/>
      <c r="S169" s="2562"/>
      <c r="T169" s="2562"/>
      <c r="U169" s="2562"/>
      <c r="V169" s="2562"/>
      <c r="W169" s="2562"/>
      <c r="X169" s="2562"/>
      <c r="Y169" s="2562"/>
      <c r="Z169" s="2562"/>
      <c r="AA169" s="2562"/>
      <c r="AB169" s="2562"/>
      <c r="AC169" s="2562"/>
      <c r="AD169" s="2562"/>
      <c r="AE169" s="2562"/>
      <c r="AF169" s="2562"/>
      <c r="AG169" s="2562"/>
      <c r="AH169" s="2562"/>
      <c r="AI169" s="2562"/>
      <c r="AJ169" s="2562"/>
      <c r="AK169" s="2562"/>
      <c r="AL169" s="2562"/>
      <c r="AM169" s="2562"/>
      <c r="AN169" s="2562"/>
      <c r="AO169" s="2562"/>
      <c r="AP169" s="2562"/>
      <c r="AQ169" s="2562"/>
      <c r="AR169" s="2562"/>
      <c r="AS169" s="2562"/>
      <c r="AT169" s="2562"/>
      <c r="AU169" s="2562"/>
      <c r="AV169" s="2562"/>
      <c r="AW169" s="2562"/>
      <c r="AX169" s="2562"/>
      <c r="AY169" s="2562"/>
      <c r="AZ169" s="2562"/>
      <c r="BA169" s="2562"/>
      <c r="BB169" s="2562"/>
      <c r="BC169" s="2562"/>
      <c r="BD169" s="2563"/>
      <c r="BE169" s="1769"/>
    </row>
    <row r="170" spans="1:57" ht="15.75" customHeight="1">
      <c r="A170" s="1763"/>
      <c r="B170" s="2564" t="s">
        <v>2078</v>
      </c>
      <c r="C170" s="2565"/>
      <c r="D170" s="2565"/>
      <c r="E170" s="2565"/>
      <c r="F170" s="2565"/>
      <c r="G170" s="2565"/>
      <c r="H170" s="2565"/>
      <c r="I170" s="2565"/>
      <c r="J170" s="2565"/>
      <c r="K170" s="2565"/>
      <c r="L170" s="2565"/>
      <c r="M170" s="2565"/>
      <c r="N170" s="2565"/>
      <c r="O170" s="2565"/>
      <c r="P170" s="2565"/>
      <c r="Q170" s="2565"/>
      <c r="R170" s="2565"/>
      <c r="S170" s="2565"/>
      <c r="T170" s="2565"/>
      <c r="U170" s="2565"/>
      <c r="V170" s="2565"/>
      <c r="W170" s="2565"/>
      <c r="X170" s="2565"/>
      <c r="Y170" s="2565"/>
      <c r="Z170" s="2565"/>
      <c r="AA170" s="2565"/>
      <c r="AB170" s="2565"/>
      <c r="AC170" s="2565"/>
      <c r="AD170" s="2565"/>
      <c r="AE170" s="2565"/>
      <c r="AF170" s="2565"/>
      <c r="AG170" s="2565"/>
      <c r="AH170" s="2565"/>
      <c r="AI170" s="2565"/>
      <c r="AJ170" s="2565"/>
      <c r="AK170" s="2565"/>
      <c r="AL170" s="2565"/>
      <c r="AM170" s="2565"/>
      <c r="AN170" s="2565"/>
      <c r="AO170" s="2565"/>
      <c r="AP170" s="2565"/>
      <c r="AQ170" s="2565"/>
      <c r="AR170" s="2565"/>
      <c r="AS170" s="2565"/>
      <c r="AT170" s="2565"/>
      <c r="AU170" s="2565"/>
      <c r="AV170" s="2565"/>
      <c r="AW170" s="2565"/>
      <c r="AX170" s="2565"/>
      <c r="AY170" s="2565"/>
      <c r="AZ170" s="2565"/>
      <c r="BA170" s="2565"/>
      <c r="BB170" s="2565"/>
      <c r="BC170" s="2565"/>
      <c r="BD170" s="2566"/>
      <c r="BE170" s="1769"/>
    </row>
    <row r="171" spans="1:57" ht="15.75" customHeight="1">
      <c r="A171" s="1763"/>
      <c r="B171" s="2564" t="s">
        <v>2079</v>
      </c>
      <c r="C171" s="2565"/>
      <c r="D171" s="2565"/>
      <c r="E171" s="2565"/>
      <c r="F171" s="2565"/>
      <c r="G171" s="2565"/>
      <c r="H171" s="2565"/>
      <c r="I171" s="2565"/>
      <c r="J171" s="2565"/>
      <c r="K171" s="2565"/>
      <c r="L171" s="2565"/>
      <c r="M171" s="2565"/>
      <c r="N171" s="2565"/>
      <c r="O171" s="2565"/>
      <c r="P171" s="2565"/>
      <c r="Q171" s="2565"/>
      <c r="R171" s="2565"/>
      <c r="S171" s="2565"/>
      <c r="T171" s="2565"/>
      <c r="U171" s="2565"/>
      <c r="V171" s="2565"/>
      <c r="W171" s="2565"/>
      <c r="X171" s="2565"/>
      <c r="Y171" s="2565"/>
      <c r="Z171" s="2565"/>
      <c r="AA171" s="2565"/>
      <c r="AB171" s="2565"/>
      <c r="AC171" s="2565"/>
      <c r="AD171" s="2565"/>
      <c r="AE171" s="2565"/>
      <c r="AF171" s="2565"/>
      <c r="AG171" s="2565"/>
      <c r="AH171" s="2565"/>
      <c r="AI171" s="2565"/>
      <c r="AJ171" s="2565"/>
      <c r="AK171" s="2565"/>
      <c r="AL171" s="2565"/>
      <c r="AM171" s="2565"/>
      <c r="AN171" s="2565"/>
      <c r="AO171" s="2565"/>
      <c r="AP171" s="2565"/>
      <c r="AQ171" s="2565"/>
      <c r="AR171" s="2565"/>
      <c r="AS171" s="2565"/>
      <c r="AT171" s="2565"/>
      <c r="AU171" s="2565"/>
      <c r="AV171" s="2565"/>
      <c r="AW171" s="2565"/>
      <c r="AX171" s="2565"/>
      <c r="AY171" s="2565"/>
      <c r="AZ171" s="2565"/>
      <c r="BA171" s="2565"/>
      <c r="BB171" s="2565"/>
      <c r="BC171" s="2565"/>
      <c r="BD171" s="2566"/>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67" t="s">
        <v>2080</v>
      </c>
      <c r="C173" s="2568"/>
      <c r="D173" s="2568"/>
      <c r="E173" s="2568"/>
      <c r="F173" s="2568"/>
      <c r="G173" s="2568"/>
      <c r="H173" s="2568"/>
      <c r="I173" s="2568"/>
      <c r="J173" s="2568"/>
      <c r="K173" s="2568"/>
      <c r="L173" s="2568"/>
      <c r="M173" s="2568"/>
      <c r="N173" s="2568"/>
      <c r="O173" s="2568"/>
      <c r="P173" s="2568"/>
      <c r="Q173" s="2568"/>
      <c r="R173" s="2568"/>
      <c r="S173" s="2568"/>
      <c r="T173" s="2568"/>
      <c r="U173" s="2568"/>
      <c r="V173" s="2568"/>
      <c r="W173" s="2568"/>
      <c r="X173" s="2568"/>
      <c r="Y173" s="2568"/>
      <c r="Z173" s="2568"/>
      <c r="AA173" s="2568"/>
      <c r="AB173" s="2568"/>
      <c r="AC173" s="2568"/>
      <c r="AD173" s="2568"/>
      <c r="AE173" s="2568"/>
      <c r="AF173" s="2568"/>
      <c r="AG173" s="2568"/>
      <c r="AH173" s="2568"/>
      <c r="AI173" s="2568"/>
      <c r="AJ173" s="2568"/>
      <c r="AK173" s="2568"/>
      <c r="AL173" s="2568"/>
      <c r="AM173" s="2568"/>
      <c r="AN173" s="2568"/>
      <c r="AO173" s="2568"/>
      <c r="AP173" s="2568"/>
      <c r="AQ173" s="2568"/>
      <c r="AR173" s="2568"/>
      <c r="AS173" s="2568"/>
      <c r="AT173" s="2568"/>
      <c r="AU173" s="2568"/>
      <c r="AV173" s="2568"/>
      <c r="AW173" s="2568"/>
      <c r="AX173" s="2568"/>
      <c r="AY173" s="2568"/>
      <c r="AZ173" s="2568"/>
      <c r="BA173" s="2568"/>
      <c r="BB173" s="2568"/>
      <c r="BC173" s="2568"/>
      <c r="BD173" s="2569"/>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0" t="s">
        <v>2082</v>
      </c>
      <c r="I177" s="2570"/>
      <c r="J177" s="2570"/>
      <c r="K177" s="2570"/>
      <c r="L177" s="2570"/>
      <c r="M177" s="2570"/>
      <c r="N177" s="2570"/>
      <c r="O177" s="2570"/>
      <c r="P177" s="2570"/>
      <c r="Q177" s="2570"/>
      <c r="R177" s="2570"/>
      <c r="S177" s="2570"/>
      <c r="T177" s="2570"/>
      <c r="U177" s="2570"/>
      <c r="V177" s="2570"/>
      <c r="W177" s="2570"/>
      <c r="X177" s="2570"/>
      <c r="Y177" s="2570"/>
      <c r="Z177" s="2570"/>
      <c r="AA177" s="2570"/>
      <c r="AB177" s="2570"/>
      <c r="AC177" s="2570"/>
      <c r="AD177" s="2570"/>
      <c r="AE177" s="2570"/>
      <c r="AF177" s="2570"/>
      <c r="AG177" s="2570"/>
      <c r="AH177" s="2570"/>
      <c r="AI177" s="2570"/>
      <c r="AJ177" s="2570"/>
      <c r="AK177" s="2570"/>
      <c r="AL177" s="2570"/>
      <c r="AM177" s="2570"/>
      <c r="AN177" s="2570"/>
      <c r="AO177" s="2570"/>
      <c r="AP177" s="2570"/>
      <c r="AQ177" s="2570"/>
      <c r="AR177" s="2570"/>
      <c r="AS177" s="2570"/>
      <c r="AT177" s="2570"/>
      <c r="AU177" s="2570"/>
      <c r="AV177" s="2570"/>
      <c r="AW177" s="2570"/>
      <c r="AX177" s="2570"/>
      <c r="AY177" s="2570"/>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56" t="s">
        <v>2445</v>
      </c>
      <c r="I179" s="2556"/>
      <c r="J179" s="2556"/>
      <c r="K179" s="2556"/>
      <c r="L179" s="2556"/>
      <c r="M179" s="2556"/>
      <c r="N179" s="2556"/>
      <c r="O179" s="2556"/>
      <c r="P179" s="2556"/>
      <c r="Q179" s="2556"/>
      <c r="R179" s="2556"/>
      <c r="S179" s="2556"/>
      <c r="T179" s="2556"/>
      <c r="U179" s="2556"/>
      <c r="V179" s="2556"/>
      <c r="W179" s="2556"/>
      <c r="X179" s="2556"/>
      <c r="Y179" s="2556"/>
      <c r="Z179" s="2556"/>
      <c r="AA179" s="2556"/>
      <c r="AB179" s="2556"/>
      <c r="AC179" s="2556"/>
      <c r="AD179" s="2556"/>
      <c r="AE179" s="2556"/>
      <c r="AF179" s="2556"/>
      <c r="AG179" s="2556"/>
      <c r="AH179" s="2556"/>
      <c r="AI179" s="2556"/>
      <c r="AJ179" s="2556"/>
      <c r="AK179" s="2556"/>
      <c r="AL179" s="2556"/>
      <c r="AM179" s="2556"/>
      <c r="AN179" s="2556"/>
      <c r="AO179" s="2556"/>
      <c r="AP179" s="2556"/>
      <c r="AQ179" s="2556"/>
      <c r="AR179" s="2556"/>
      <c r="AS179" s="2556"/>
      <c r="AT179" s="2556"/>
      <c r="AU179" s="2556"/>
      <c r="AV179" s="2556"/>
      <c r="AW179" s="2556"/>
      <c r="AX179" s="2556"/>
      <c r="AY179" s="2556"/>
      <c r="AZ179" s="2556"/>
      <c r="BA179" s="1763"/>
      <c r="BB179" s="1763"/>
      <c r="BC179" s="1763"/>
      <c r="BD179" s="1769"/>
      <c r="BE179" s="1769"/>
    </row>
    <row r="180" spans="1:57" ht="15.75" customHeight="1">
      <c r="A180" s="1763"/>
      <c r="B180" s="1762"/>
      <c r="C180" s="1763"/>
      <c r="D180" s="1763"/>
      <c r="E180" s="1763"/>
      <c r="F180" s="1763"/>
      <c r="G180" s="1763"/>
      <c r="H180" s="2556"/>
      <c r="I180" s="2556"/>
      <c r="J180" s="2556"/>
      <c r="K180" s="2556"/>
      <c r="L180" s="2556"/>
      <c r="M180" s="2556"/>
      <c r="N180" s="2556"/>
      <c r="O180" s="2556"/>
      <c r="P180" s="2556"/>
      <c r="Q180" s="2556"/>
      <c r="R180" s="2556"/>
      <c r="S180" s="2556"/>
      <c r="T180" s="2556"/>
      <c r="U180" s="2556"/>
      <c r="V180" s="2556"/>
      <c r="W180" s="2556"/>
      <c r="X180" s="2556"/>
      <c r="Y180" s="2556"/>
      <c r="Z180" s="2556"/>
      <c r="AA180" s="2556"/>
      <c r="AB180" s="2556"/>
      <c r="AC180" s="2556"/>
      <c r="AD180" s="2556"/>
      <c r="AE180" s="2556"/>
      <c r="AF180" s="2556"/>
      <c r="AG180" s="2556"/>
      <c r="AH180" s="2556"/>
      <c r="AI180" s="2556"/>
      <c r="AJ180" s="2556"/>
      <c r="AK180" s="2556"/>
      <c r="AL180" s="2556"/>
      <c r="AM180" s="2556"/>
      <c r="AN180" s="2556"/>
      <c r="AO180" s="2556"/>
      <c r="AP180" s="2556"/>
      <c r="AQ180" s="2556"/>
      <c r="AR180" s="2556"/>
      <c r="AS180" s="2556"/>
      <c r="AT180" s="2556"/>
      <c r="AU180" s="2556"/>
      <c r="AV180" s="2556"/>
      <c r="AW180" s="2556"/>
      <c r="AX180" s="2556"/>
      <c r="AY180" s="2556"/>
      <c r="AZ180" s="2556"/>
      <c r="BA180" s="1763"/>
      <c r="BB180" s="1763"/>
      <c r="BC180" s="1763"/>
      <c r="BD180" s="1769"/>
      <c r="BE180" s="1769"/>
    </row>
    <row r="181" spans="1:57" ht="15.75" customHeight="1">
      <c r="A181" s="1763"/>
      <c r="B181" s="1762"/>
      <c r="C181" s="1763"/>
      <c r="D181" s="1763"/>
      <c r="E181" s="1763"/>
      <c r="F181" s="1763"/>
      <c r="G181" s="1763"/>
      <c r="H181" s="2556"/>
      <c r="I181" s="2556"/>
      <c r="J181" s="2556"/>
      <c r="K181" s="2556"/>
      <c r="L181" s="2556"/>
      <c r="M181" s="2556"/>
      <c r="N181" s="2556"/>
      <c r="O181" s="2556"/>
      <c r="P181" s="2556"/>
      <c r="Q181" s="2556"/>
      <c r="R181" s="2556"/>
      <c r="S181" s="2556"/>
      <c r="T181" s="2556"/>
      <c r="U181" s="2556"/>
      <c r="V181" s="2556"/>
      <c r="W181" s="2556"/>
      <c r="X181" s="2556"/>
      <c r="Y181" s="2556"/>
      <c r="Z181" s="2556"/>
      <c r="AA181" s="2556"/>
      <c r="AB181" s="2556"/>
      <c r="AC181" s="2556"/>
      <c r="AD181" s="2556"/>
      <c r="AE181" s="2556"/>
      <c r="AF181" s="2556"/>
      <c r="AG181" s="2556"/>
      <c r="AH181" s="2556"/>
      <c r="AI181" s="2556"/>
      <c r="AJ181" s="2556"/>
      <c r="AK181" s="2556"/>
      <c r="AL181" s="2556"/>
      <c r="AM181" s="2556"/>
      <c r="AN181" s="2556"/>
      <c r="AO181" s="2556"/>
      <c r="AP181" s="2556"/>
      <c r="AQ181" s="2556"/>
      <c r="AR181" s="2556"/>
      <c r="AS181" s="2556"/>
      <c r="AT181" s="2556"/>
      <c r="AU181" s="2556"/>
      <c r="AV181" s="2556"/>
      <c r="AW181" s="2556"/>
      <c r="AX181" s="2556"/>
      <c r="AY181" s="2556"/>
      <c r="AZ181" s="2556"/>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57" t="s">
        <v>2083</v>
      </c>
      <c r="I184" s="2557"/>
      <c r="J184" s="2557"/>
      <c r="K184" s="2557"/>
      <c r="L184" s="2557"/>
      <c r="M184" s="2557"/>
      <c r="N184" s="2557"/>
      <c r="O184" s="2557"/>
      <c r="P184" s="2557"/>
      <c r="Q184" s="2557"/>
      <c r="R184" s="2557"/>
      <c r="S184" s="2557"/>
      <c r="T184" s="2557"/>
      <c r="U184" s="2557"/>
      <c r="V184" s="2557"/>
      <c r="W184" s="2557"/>
      <c r="X184" s="2557"/>
      <c r="Y184" s="2557"/>
      <c r="Z184" s="2557"/>
      <c r="AA184" s="2557"/>
      <c r="AB184" s="2557"/>
      <c r="AC184" s="2557"/>
      <c r="AD184" s="2557"/>
      <c r="AE184" s="2557"/>
      <c r="AF184" s="2557"/>
      <c r="AG184" s="2557"/>
      <c r="AH184" s="2557"/>
      <c r="AI184" s="2557"/>
      <c r="AJ184" s="2557"/>
      <c r="AK184" s="2557"/>
      <c r="AL184" s="2557"/>
      <c r="AM184" s="2557"/>
      <c r="AN184" s="2557"/>
      <c r="AO184" s="2557"/>
      <c r="AP184" s="2557"/>
      <c r="AQ184" s="2557"/>
      <c r="AR184" s="2557"/>
      <c r="AS184" s="2557"/>
      <c r="AT184" s="2557"/>
      <c r="AU184" s="2557"/>
      <c r="AV184" s="2557"/>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0" t="s">
        <v>2084</v>
      </c>
      <c r="I186" s="2550"/>
      <c r="J186" s="2550"/>
      <c r="K186" s="2550"/>
      <c r="L186" s="1775"/>
      <c r="M186" s="1775"/>
      <c r="N186" s="1775"/>
      <c r="O186" s="1775"/>
      <c r="P186" s="1775"/>
      <c r="Q186" s="1775"/>
      <c r="R186" s="1775"/>
      <c r="S186" s="2551"/>
      <c r="T186" s="2552"/>
      <c r="U186" s="2552"/>
      <c r="V186" s="2552"/>
      <c r="W186" s="2552"/>
      <c r="X186" s="2552"/>
      <c r="Y186" s="2552"/>
      <c r="Z186" s="2552"/>
      <c r="AA186" s="2552"/>
      <c r="AB186" s="2552"/>
      <c r="AC186" s="2552"/>
      <c r="AD186" s="2552"/>
      <c r="AE186" s="2552"/>
      <c r="AF186" s="2552"/>
      <c r="AG186" s="2552"/>
      <c r="AH186" s="2552"/>
      <c r="AI186" s="2552"/>
      <c r="AJ186" s="2553"/>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0" t="s">
        <v>2085</v>
      </c>
      <c r="I188" s="2550"/>
      <c r="J188" s="2550"/>
      <c r="K188" s="1796"/>
      <c r="L188" s="1775"/>
      <c r="M188" s="1775"/>
      <c r="N188" s="1775"/>
      <c r="O188" s="1775"/>
      <c r="P188" s="1775"/>
      <c r="Q188" s="1775"/>
      <c r="R188" s="1775"/>
      <c r="S188" s="2551"/>
      <c r="T188" s="2552"/>
      <c r="U188" s="2552"/>
      <c r="V188" s="2552"/>
      <c r="W188" s="2552"/>
      <c r="X188" s="2552"/>
      <c r="Y188" s="2552"/>
      <c r="Z188" s="2552"/>
      <c r="AA188" s="2552"/>
      <c r="AB188" s="2552"/>
      <c r="AC188" s="2552"/>
      <c r="AD188" s="2552"/>
      <c r="AE188" s="2552"/>
      <c r="AF188" s="2552"/>
      <c r="AG188" s="2552"/>
      <c r="AH188" s="2552"/>
      <c r="AI188" s="2552"/>
      <c r="AJ188" s="2553"/>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0" t="s">
        <v>464</v>
      </c>
      <c r="I190" s="2550"/>
      <c r="J190" s="1796"/>
      <c r="K190" s="1796"/>
      <c r="L190" s="1775"/>
      <c r="M190" s="1775"/>
      <c r="N190" s="1775"/>
      <c r="O190" s="1775"/>
      <c r="P190" s="1775"/>
      <c r="Q190" s="1775"/>
      <c r="R190" s="1775"/>
      <c r="S190" s="2551"/>
      <c r="T190" s="2552"/>
      <c r="U190" s="2552"/>
      <c r="V190" s="2552"/>
      <c r="W190" s="2552"/>
      <c r="X190" s="2552"/>
      <c r="Y190" s="2552"/>
      <c r="Z190" s="2552"/>
      <c r="AA190" s="2552"/>
      <c r="AB190" s="2552"/>
      <c r="AC190" s="2552"/>
      <c r="AD190" s="2552"/>
      <c r="AE190" s="2552"/>
      <c r="AF190" s="2552"/>
      <c r="AG190" s="2552"/>
      <c r="AH190" s="2552"/>
      <c r="AI190" s="2552"/>
      <c r="AJ190" s="2553"/>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4" t="s">
        <v>2086</v>
      </c>
      <c r="I192" s="2554"/>
      <c r="J192" s="2554"/>
      <c r="K192" s="2554"/>
      <c r="L192" s="2554"/>
      <c r="M192" s="2554"/>
      <c r="N192" s="2554"/>
      <c r="O192" s="2554"/>
      <c r="P192" s="1775"/>
      <c r="Q192" s="1775"/>
      <c r="R192" s="1775"/>
      <c r="S192" s="2551"/>
      <c r="T192" s="2552"/>
      <c r="U192" s="2552"/>
      <c r="V192" s="2552"/>
      <c r="W192" s="2552"/>
      <c r="X192" s="2552"/>
      <c r="Y192" s="2552"/>
      <c r="Z192" s="2552"/>
      <c r="AA192" s="2552"/>
      <c r="AB192" s="2552"/>
      <c r="AC192" s="2552"/>
      <c r="AD192" s="2552"/>
      <c r="AE192" s="2552"/>
      <c r="AF192" s="2552"/>
      <c r="AG192" s="2552"/>
      <c r="AH192" s="2552"/>
      <c r="AI192" s="2552"/>
      <c r="AJ192" s="2553"/>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55" t="s">
        <v>2087</v>
      </c>
      <c r="I194" s="2555"/>
      <c r="J194" s="1775"/>
      <c r="K194" s="1775"/>
      <c r="L194" s="1775"/>
      <c r="M194" s="1775"/>
      <c r="N194" s="1775"/>
      <c r="O194" s="1775"/>
      <c r="P194" s="1775"/>
      <c r="Q194" s="1775"/>
      <c r="R194" s="1775"/>
      <c r="S194" s="2551"/>
      <c r="T194" s="2552"/>
      <c r="U194" s="2552"/>
      <c r="V194" s="2552"/>
      <c r="W194" s="2552"/>
      <c r="X194" s="2552"/>
      <c r="Y194" s="2552"/>
      <c r="Z194" s="2552"/>
      <c r="AA194" s="2552"/>
      <c r="AB194" s="2552"/>
      <c r="AC194" s="2552"/>
      <c r="AD194" s="2552"/>
      <c r="AE194" s="2552"/>
      <c r="AF194" s="2552"/>
      <c r="AG194" s="2552"/>
      <c r="AH194" s="2552"/>
      <c r="AI194" s="2552"/>
      <c r="AJ194" s="2553"/>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5" zoomScaleNormal="115" zoomScaleSheetLayoutView="100" workbookViewId="0">
      <selection sqref="A1:AM2"/>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7" t="s">
        <v>1550</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row>
    <row r="2" spans="1:42" s="923" customFormat="1" ht="12.75" customHeight="1" thickBot="1">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16" t="s">
        <v>1555</v>
      </c>
      <c r="AF7" s="3016"/>
      <c r="AG7" s="3016"/>
      <c r="AH7" s="3016"/>
      <c r="AI7" s="3016"/>
      <c r="AJ7" s="3016"/>
      <c r="AK7" s="3016"/>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0" t="s">
        <v>626</v>
      </c>
      <c r="C12" s="3000"/>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29"/>
      <c r="AH12" s="3029"/>
      <c r="AI12" s="3029"/>
      <c r="AJ12" s="3030"/>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0" t="s">
        <v>626</v>
      </c>
      <c r="C15" s="3000"/>
      <c r="D15" s="936"/>
      <c r="E15" s="3017" t="s">
        <v>1558</v>
      </c>
      <c r="F15" s="3018"/>
      <c r="G15" s="3018"/>
      <c r="H15" s="3018"/>
      <c r="I15" s="3018"/>
      <c r="J15" s="3018"/>
      <c r="K15" s="3018"/>
      <c r="L15" s="3018"/>
      <c r="M15" s="3018"/>
      <c r="N15" s="3018"/>
      <c r="O15" s="3018"/>
      <c r="P15" s="3018"/>
      <c r="Q15" s="3018"/>
      <c r="R15" s="3018"/>
      <c r="S15" s="3018"/>
      <c r="T15" s="3018"/>
      <c r="U15" s="3018"/>
      <c r="V15" s="3018"/>
      <c r="W15" s="3018"/>
      <c r="X15" s="3018"/>
      <c r="Y15" s="3018"/>
      <c r="Z15" s="3018"/>
      <c r="AA15" s="3018"/>
      <c r="AB15" s="3018"/>
      <c r="AC15" s="3018"/>
      <c r="AD15" s="3018"/>
      <c r="AE15" s="3018"/>
      <c r="AF15" s="3018"/>
      <c r="AG15" s="3018"/>
      <c r="AH15" s="3018"/>
      <c r="AI15" s="3018"/>
      <c r="AJ15" s="3019"/>
      <c r="AK15" s="929"/>
      <c r="AL15" s="929"/>
      <c r="AM15" s="929"/>
      <c r="AN15" s="925"/>
      <c r="AO15" s="939">
        <f>IF($B24="yes",20,0)</f>
        <v>0</v>
      </c>
      <c r="AP15" s="51"/>
    </row>
    <row r="16" spans="1:42" s="926" customFormat="1" ht="12.75" customHeight="1">
      <c r="A16" s="929"/>
      <c r="B16" s="929"/>
      <c r="C16" s="929"/>
      <c r="D16" s="940"/>
      <c r="E16" s="3020"/>
      <c r="F16" s="3021"/>
      <c r="G16" s="3021"/>
      <c r="H16" s="3021"/>
      <c r="I16" s="3021"/>
      <c r="J16" s="3021"/>
      <c r="K16" s="3021"/>
      <c r="L16" s="3021"/>
      <c r="M16" s="3021"/>
      <c r="N16" s="3021"/>
      <c r="O16" s="3021"/>
      <c r="P16" s="3021"/>
      <c r="Q16" s="3021"/>
      <c r="R16" s="3021"/>
      <c r="S16" s="3021"/>
      <c r="T16" s="3021"/>
      <c r="U16" s="3021"/>
      <c r="V16" s="3021"/>
      <c r="W16" s="3021"/>
      <c r="X16" s="3021"/>
      <c r="Y16" s="3021"/>
      <c r="Z16" s="3021"/>
      <c r="AA16" s="3021"/>
      <c r="AB16" s="3021"/>
      <c r="AC16" s="3021"/>
      <c r="AD16" s="3021"/>
      <c r="AE16" s="3021"/>
      <c r="AF16" s="3021"/>
      <c r="AG16" s="3021"/>
      <c r="AH16" s="3021"/>
      <c r="AI16" s="3021"/>
      <c r="AJ16" s="3022"/>
      <c r="AK16" s="929"/>
      <c r="AL16" s="929"/>
      <c r="AM16" s="929"/>
      <c r="AN16" s="925"/>
      <c r="AO16" s="926">
        <f>IF(SUM(AO12:AO15)&gt;20,20,(SUM(AO12:AO15)))</f>
        <v>0</v>
      </c>
      <c r="AP16" s="926" t="s">
        <v>1559</v>
      </c>
    </row>
    <row r="17" spans="1:42" s="926" customFormat="1" ht="12.75" customHeight="1">
      <c r="A17" s="929"/>
      <c r="B17" s="929"/>
      <c r="C17" s="929"/>
      <c r="D17" s="940"/>
      <c r="E17" s="3020"/>
      <c r="F17" s="3021"/>
      <c r="G17" s="3021"/>
      <c r="H17" s="3021"/>
      <c r="I17" s="3021"/>
      <c r="J17" s="3021"/>
      <c r="K17" s="3021"/>
      <c r="L17" s="30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2"/>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2997"/>
      <c r="F19" s="2998"/>
      <c r="G19" s="2998"/>
      <c r="H19" s="2998"/>
      <c r="I19" s="2998"/>
      <c r="J19" s="2998"/>
      <c r="K19" s="2998"/>
      <c r="L19" s="2998"/>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0" t="s">
        <v>626</v>
      </c>
      <c r="C21" s="3000"/>
      <c r="D21" s="936"/>
      <c r="E21" s="3001" t="s">
        <v>1561</v>
      </c>
      <c r="F21" s="3002"/>
      <c r="G21" s="3002"/>
      <c r="H21" s="3002"/>
      <c r="I21" s="3002"/>
      <c r="J21" s="3002"/>
      <c r="K21" s="3002"/>
      <c r="L21" s="300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3"/>
      <c r="AK21" s="929"/>
      <c r="AL21" s="929"/>
      <c r="AM21" s="929"/>
      <c r="AN21" s="925"/>
      <c r="AO21" s="926">
        <f>SUM(AO20)</f>
        <v>0</v>
      </c>
      <c r="AP21" s="926" t="s">
        <v>1559</v>
      </c>
    </row>
    <row r="22" spans="1:42" s="926" customFormat="1" ht="12.75" customHeight="1">
      <c r="A22" s="929"/>
      <c r="B22" s="929"/>
      <c r="C22" s="929"/>
      <c r="D22" s="939"/>
      <c r="E22" s="3004"/>
      <c r="F22" s="3005"/>
      <c r="G22" s="3005"/>
      <c r="H22" s="3005"/>
      <c r="I22" s="3005"/>
      <c r="J22" s="3005"/>
      <c r="K22" s="3005"/>
      <c r="L22" s="3005"/>
      <c r="M22" s="3005"/>
      <c r="N22" s="3005"/>
      <c r="O22" s="3005"/>
      <c r="P22" s="3005"/>
      <c r="Q22" s="3005"/>
      <c r="R22" s="3005"/>
      <c r="S22" s="3005"/>
      <c r="T22" s="3005"/>
      <c r="U22" s="3005"/>
      <c r="V22" s="3005"/>
      <c r="W22" s="3005"/>
      <c r="X22" s="3005"/>
      <c r="Y22" s="3005"/>
      <c r="Z22" s="3005"/>
      <c r="AA22" s="3005"/>
      <c r="AB22" s="3005"/>
      <c r="AC22" s="3005"/>
      <c r="AD22" s="3005"/>
      <c r="AE22" s="3005"/>
      <c r="AF22" s="3005"/>
      <c r="AG22" s="3005"/>
      <c r="AH22" s="3005"/>
      <c r="AI22" s="3005"/>
      <c r="AJ22" s="3006"/>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0" t="s">
        <v>626</v>
      </c>
      <c r="C24" s="3000"/>
      <c r="D24" s="936"/>
      <c r="E24" s="3007" t="s">
        <v>1562</v>
      </c>
      <c r="F24" s="3008"/>
      <c r="G24" s="3008"/>
      <c r="H24" s="3008"/>
      <c r="I24" s="3008"/>
      <c r="J24" s="3008"/>
      <c r="K24" s="3008"/>
      <c r="L24" s="3008"/>
      <c r="M24" s="3008"/>
      <c r="N24" s="3008"/>
      <c r="O24" s="3008"/>
      <c r="P24" s="3008"/>
      <c r="Q24" s="3008"/>
      <c r="R24" s="3008"/>
      <c r="S24" s="3008"/>
      <c r="T24" s="3008"/>
      <c r="U24" s="3008"/>
      <c r="V24" s="3008"/>
      <c r="W24" s="3008"/>
      <c r="X24" s="3008"/>
      <c r="Y24" s="3008"/>
      <c r="Z24" s="3008"/>
      <c r="AA24" s="3008"/>
      <c r="AB24" s="3008"/>
      <c r="AC24" s="3008"/>
      <c r="AD24" s="3008"/>
      <c r="AE24" s="3008"/>
      <c r="AF24" s="3008"/>
      <c r="AG24" s="3008"/>
      <c r="AH24" s="3008"/>
      <c r="AI24" s="3008"/>
      <c r="AJ24" s="3009"/>
      <c r="AK24" s="929"/>
      <c r="AL24" s="929"/>
      <c r="AM24" s="929"/>
      <c r="AN24" s="925"/>
      <c r="AO24" s="939">
        <f>IF($B39="yes",6,0)</f>
        <v>0</v>
      </c>
    </row>
    <row r="25" spans="1:42" s="926" customFormat="1" ht="12.75" customHeight="1">
      <c r="A25" s="929"/>
      <c r="B25" s="929"/>
      <c r="C25" s="929"/>
      <c r="D25" s="939"/>
      <c r="E25" s="3010"/>
      <c r="F25" s="3011"/>
      <c r="G25" s="3011"/>
      <c r="H25" s="3011"/>
      <c r="I25" s="3011"/>
      <c r="J25" s="3011"/>
      <c r="K25" s="3011"/>
      <c r="L25" s="3011"/>
      <c r="M25" s="3011"/>
      <c r="N25" s="3011"/>
      <c r="O25" s="3011"/>
      <c r="P25" s="3011"/>
      <c r="Q25" s="3011"/>
      <c r="R25" s="3011"/>
      <c r="S25" s="3011"/>
      <c r="T25" s="3011"/>
      <c r="U25" s="3011"/>
      <c r="V25" s="3011"/>
      <c r="W25" s="3011"/>
      <c r="X25" s="3011"/>
      <c r="Y25" s="3011"/>
      <c r="Z25" s="3011"/>
      <c r="AA25" s="3011"/>
      <c r="AB25" s="3011"/>
      <c r="AC25" s="3011"/>
      <c r="AD25" s="3011"/>
      <c r="AE25" s="3011"/>
      <c r="AF25" s="3011"/>
      <c r="AG25" s="3011"/>
      <c r="AH25" s="3011"/>
      <c r="AI25" s="3011"/>
      <c r="AJ25" s="3012"/>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0" t="s">
        <v>626</v>
      </c>
      <c r="C29" s="3000"/>
      <c r="D29" s="936"/>
      <c r="E29" s="3007" t="s">
        <v>1564</v>
      </c>
      <c r="F29" s="3008"/>
      <c r="G29" s="3008"/>
      <c r="H29" s="3008"/>
      <c r="I29" s="3008"/>
      <c r="J29" s="3008"/>
      <c r="K29" s="3008"/>
      <c r="L29" s="3008"/>
      <c r="M29" s="3008"/>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9"/>
      <c r="AK29" s="929"/>
      <c r="AL29" s="929"/>
      <c r="AM29" s="929"/>
      <c r="AN29" s="925"/>
      <c r="AO29" s="939">
        <f>IF($B49="yes",6,0)</f>
        <v>0</v>
      </c>
    </row>
    <row r="30" spans="1:42" s="926" customFormat="1" ht="12.75" customHeight="1">
      <c r="A30" s="929"/>
      <c r="B30" s="929"/>
      <c r="C30" s="929"/>
      <c r="E30" s="3013"/>
      <c r="F30" s="3014"/>
      <c r="G30" s="3014"/>
      <c r="H30" s="3014"/>
      <c r="I30" s="3014"/>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5"/>
      <c r="AK30" s="929"/>
      <c r="AL30" s="929"/>
      <c r="AM30" s="929"/>
      <c r="AN30" s="925"/>
      <c r="AO30" s="926">
        <f>IF(SUM(AO23:AO29)&gt;6,6,(SUM(AO23:AO29)))</f>
        <v>0</v>
      </c>
      <c r="AP30" s="926" t="s">
        <v>1559</v>
      </c>
    </row>
    <row r="31" spans="1:42" s="926" customFormat="1" ht="12.75" customHeight="1">
      <c r="A31" s="929"/>
      <c r="B31" s="929"/>
      <c r="C31" s="929"/>
      <c r="E31" s="3010"/>
      <c r="F31" s="3011"/>
      <c r="G31" s="3011"/>
      <c r="H31" s="3011"/>
      <c r="I31" s="3011"/>
      <c r="J31" s="3011"/>
      <c r="K31" s="3011"/>
      <c r="L31" s="3011"/>
      <c r="M31" s="3011"/>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2"/>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4" t="s">
        <v>2314</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29"/>
      <c r="AM34" s="929"/>
      <c r="AN34" s="925"/>
    </row>
    <row r="35" spans="1:41" s="926" customFormat="1" ht="12.75" customHeight="1">
      <c r="A35" s="929"/>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0" t="s">
        <v>626</v>
      </c>
      <c r="C37" s="3000"/>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0" t="s">
        <v>626</v>
      </c>
      <c r="C39" s="3000"/>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0" t="s">
        <v>626</v>
      </c>
      <c r="C41" s="3000"/>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0" t="s">
        <v>626</v>
      </c>
      <c r="C43" s="3000"/>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0" t="s">
        <v>626</v>
      </c>
      <c r="C45" s="3000"/>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0" t="s">
        <v>626</v>
      </c>
      <c r="C47" s="3000"/>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0" t="s">
        <v>626</v>
      </c>
      <c r="C49" s="3000"/>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31">
        <f>AO32</f>
        <v>0</v>
      </c>
      <c r="AL51" s="3032"/>
      <c r="AM51" s="3033"/>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16" t="s">
        <v>1576</v>
      </c>
      <c r="AF54" s="3016"/>
      <c r="AG54" s="3016"/>
      <c r="AH54" s="3016"/>
      <c r="AI54" s="3016"/>
      <c r="AJ54" s="3016"/>
      <c r="AK54" s="3016"/>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0" t="s">
        <v>626</v>
      </c>
      <c r="C57" s="3000"/>
      <c r="D57" s="936" t="s">
        <v>1577</v>
      </c>
      <c r="E57" s="3017" t="s">
        <v>2167</v>
      </c>
      <c r="F57" s="3018"/>
      <c r="G57" s="3018"/>
      <c r="H57" s="3018"/>
      <c r="I57" s="3018"/>
      <c r="J57" s="3018"/>
      <c r="K57" s="3018"/>
      <c r="L57" s="3018"/>
      <c r="M57" s="3018"/>
      <c r="N57" s="3018"/>
      <c r="O57" s="3018"/>
      <c r="P57" s="3018"/>
      <c r="Q57" s="3018"/>
      <c r="R57" s="3018"/>
      <c r="S57" s="3018"/>
      <c r="T57" s="3018"/>
      <c r="U57" s="3018"/>
      <c r="V57" s="3018"/>
      <c r="W57" s="3018"/>
      <c r="X57" s="3018"/>
      <c r="Y57" s="3018"/>
      <c r="Z57" s="3018"/>
      <c r="AA57" s="3018"/>
      <c r="AB57" s="3018"/>
      <c r="AC57" s="3018"/>
      <c r="AD57" s="3018"/>
      <c r="AE57" s="3018"/>
      <c r="AF57" s="3018"/>
      <c r="AG57" s="3018"/>
      <c r="AH57" s="3018"/>
      <c r="AI57" s="3018"/>
      <c r="AJ57" s="3019"/>
      <c r="AK57" s="932"/>
      <c r="AL57" s="929"/>
      <c r="AM57" s="929"/>
      <c r="AN57" s="925"/>
      <c r="AO57" s="939">
        <f>IF($B57="yes",10,0)</f>
        <v>0</v>
      </c>
    </row>
    <row r="58" spans="1:50" s="926" customFormat="1" ht="12.75" customHeight="1">
      <c r="A58" s="927"/>
      <c r="B58" s="929"/>
      <c r="C58" s="929"/>
      <c r="D58" s="940"/>
      <c r="E58" s="3020"/>
      <c r="F58" s="3021"/>
      <c r="G58" s="3021"/>
      <c r="H58" s="3021"/>
      <c r="I58" s="3021"/>
      <c r="J58" s="3021"/>
      <c r="K58" s="3021"/>
      <c r="L58" s="3021"/>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2"/>
      <c r="AK58" s="932"/>
      <c r="AL58" s="929"/>
      <c r="AM58" s="929"/>
      <c r="AN58" s="925"/>
      <c r="AO58" s="939">
        <f>IF($B62="yes",10,0)</f>
        <v>10</v>
      </c>
    </row>
    <row r="59" spans="1:50" s="926" customFormat="1" ht="12.75" customHeight="1">
      <c r="A59" s="927"/>
      <c r="B59" s="929"/>
      <c r="C59" s="929"/>
      <c r="D59" s="940"/>
      <c r="E59" s="3020"/>
      <c r="F59" s="3021"/>
      <c r="G59" s="3021"/>
      <c r="H59" s="3021"/>
      <c r="I59" s="3021"/>
      <c r="J59" s="3021"/>
      <c r="K59" s="3021"/>
      <c r="L59" s="3021"/>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2"/>
      <c r="AK59" s="932"/>
      <c r="AL59" s="929"/>
      <c r="AM59" s="929"/>
      <c r="AN59" s="925"/>
      <c r="AO59" s="939">
        <f>IF($B69="yes",10,0)</f>
        <v>0</v>
      </c>
    </row>
    <row r="60" spans="1:50" s="926" customFormat="1" ht="12.75" customHeight="1">
      <c r="A60" s="927"/>
      <c r="B60" s="929"/>
      <c r="C60" s="929"/>
      <c r="D60" s="940"/>
      <c r="E60" s="3023"/>
      <c r="F60" s="3024"/>
      <c r="G60" s="3024"/>
      <c r="H60" s="3024"/>
      <c r="I60" s="3024"/>
      <c r="J60" s="3024"/>
      <c r="K60" s="3024"/>
      <c r="L60" s="302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5"/>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0" t="s">
        <v>578</v>
      </c>
      <c r="C62" s="3000"/>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26" t="s">
        <v>626</v>
      </c>
      <c r="F63" s="3000"/>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2995" t="s">
        <v>578</v>
      </c>
      <c r="F64" s="2996"/>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2995" t="s">
        <v>626</v>
      </c>
      <c r="F65" s="2996"/>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26" t="s">
        <v>578</v>
      </c>
      <c r="F67" s="3000"/>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0" t="s">
        <v>626</v>
      </c>
      <c r="C69" s="3000"/>
      <c r="D69" s="936" t="s">
        <v>1582</v>
      </c>
      <c r="E69" s="3007" t="s">
        <v>2168</v>
      </c>
      <c r="F69" s="3008"/>
      <c r="G69" s="3008"/>
      <c r="H69" s="3008"/>
      <c r="I69" s="3008"/>
      <c r="J69" s="3008"/>
      <c r="K69" s="3008"/>
      <c r="L69" s="3008"/>
      <c r="M69" s="3008"/>
      <c r="N69" s="3008"/>
      <c r="O69" s="3008"/>
      <c r="P69" s="3008"/>
      <c r="Q69" s="3008"/>
      <c r="R69" s="3008"/>
      <c r="S69" s="3008"/>
      <c r="T69" s="3008"/>
      <c r="U69" s="3008"/>
      <c r="V69" s="3008"/>
      <c r="W69" s="3008"/>
      <c r="X69" s="3008"/>
      <c r="Y69" s="3008"/>
      <c r="Z69" s="3008"/>
      <c r="AA69" s="3008"/>
      <c r="AB69" s="3008"/>
      <c r="AC69" s="3008"/>
      <c r="AD69" s="3008"/>
      <c r="AE69" s="3008"/>
      <c r="AF69" s="3008"/>
      <c r="AG69" s="3008"/>
      <c r="AH69" s="3008"/>
      <c r="AI69" s="3008"/>
      <c r="AJ69" s="3009"/>
      <c r="AK69" s="932"/>
      <c r="AL69" s="929"/>
      <c r="AM69" s="929"/>
      <c r="AN69" s="925"/>
    </row>
    <row r="70" spans="1:40" s="926" customFormat="1" ht="12.75" customHeight="1">
      <c r="A70" s="927"/>
      <c r="B70" s="929"/>
      <c r="C70" s="929"/>
      <c r="D70" s="939"/>
      <c r="E70" s="3010"/>
      <c r="F70" s="3011"/>
      <c r="G70" s="3011"/>
      <c r="H70" s="3011"/>
      <c r="I70" s="3011"/>
      <c r="J70" s="3011"/>
      <c r="K70" s="3011"/>
      <c r="L70" s="3011"/>
      <c r="M70" s="3011"/>
      <c r="N70" s="3011"/>
      <c r="O70" s="3011"/>
      <c r="P70" s="3011"/>
      <c r="Q70" s="3011"/>
      <c r="R70" s="3011"/>
      <c r="S70" s="3011"/>
      <c r="T70" s="3011"/>
      <c r="U70" s="3011"/>
      <c r="V70" s="3011"/>
      <c r="W70" s="3011"/>
      <c r="X70" s="3011"/>
      <c r="Y70" s="3011"/>
      <c r="Z70" s="3011"/>
      <c r="AA70" s="3011"/>
      <c r="AB70" s="3011"/>
      <c r="AC70" s="3011"/>
      <c r="AD70" s="3011"/>
      <c r="AE70" s="3011"/>
      <c r="AF70" s="3011"/>
      <c r="AG70" s="3011"/>
      <c r="AH70" s="3011"/>
      <c r="AI70" s="3011"/>
      <c r="AJ70" s="3012"/>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31">
        <f>IF(AK51&gt;0,0,AO60)</f>
        <v>10</v>
      </c>
      <c r="AL72" s="3032"/>
      <c r="AM72" s="3033"/>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16" t="s">
        <v>1555</v>
      </c>
      <c r="AF75" s="3016"/>
      <c r="AG75" s="3016"/>
      <c r="AH75" s="3016"/>
      <c r="AI75" s="3016"/>
      <c r="AJ75" s="3016"/>
      <c r="AK75" s="3016"/>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0" t="s">
        <v>626</v>
      </c>
      <c r="C78" s="3000"/>
      <c r="D78" s="936" t="s">
        <v>1577</v>
      </c>
      <c r="E78" s="3039" t="s">
        <v>1587</v>
      </c>
      <c r="F78" s="3040"/>
      <c r="G78" s="3040"/>
      <c r="H78" s="3040"/>
      <c r="I78" s="3040"/>
      <c r="J78" s="3040"/>
      <c r="K78" s="3040"/>
      <c r="L78" s="3040"/>
      <c r="M78" s="3040"/>
      <c r="N78" s="3040"/>
      <c r="O78" s="3040"/>
      <c r="P78" s="3040"/>
      <c r="Q78" s="3040"/>
      <c r="R78" s="3040"/>
      <c r="S78" s="3040"/>
      <c r="T78" s="3040"/>
      <c r="U78" s="3040"/>
      <c r="V78" s="3040"/>
      <c r="W78" s="3040"/>
      <c r="X78" s="3040"/>
      <c r="Y78" s="3040"/>
      <c r="Z78" s="3040"/>
      <c r="AA78" s="3040"/>
      <c r="AB78" s="3040"/>
      <c r="AC78" s="3040"/>
      <c r="AD78" s="3040"/>
      <c r="AE78" s="3040"/>
      <c r="AF78" s="3040"/>
      <c r="AG78" s="3040"/>
      <c r="AH78" s="3040"/>
      <c r="AI78" s="3040"/>
      <c r="AJ78" s="3041"/>
      <c r="AK78" s="932"/>
      <c r="AL78" s="929"/>
      <c r="AM78" s="929"/>
      <c r="AN78" s="925"/>
    </row>
    <row r="79" spans="1:40" s="926" customFormat="1" ht="12.75" customHeight="1">
      <c r="A79" s="927"/>
      <c r="B79" s="928"/>
      <c r="C79" s="928"/>
      <c r="D79" s="928"/>
      <c r="E79" s="3042"/>
      <c r="F79" s="3043"/>
      <c r="G79" s="3043"/>
      <c r="H79" s="3043"/>
      <c r="I79" s="3043"/>
      <c r="J79" s="3043"/>
      <c r="K79" s="3043"/>
      <c r="L79" s="3043"/>
      <c r="M79" s="3043"/>
      <c r="N79" s="3043"/>
      <c r="O79" s="3043"/>
      <c r="P79" s="3043"/>
      <c r="Q79" s="3043"/>
      <c r="R79" s="3043"/>
      <c r="S79" s="3043"/>
      <c r="T79" s="3043"/>
      <c r="U79" s="3043"/>
      <c r="V79" s="3043"/>
      <c r="W79" s="3043"/>
      <c r="X79" s="3043"/>
      <c r="Y79" s="3043"/>
      <c r="Z79" s="3043"/>
      <c r="AA79" s="3043"/>
      <c r="AB79" s="3043"/>
      <c r="AC79" s="3043"/>
      <c r="AD79" s="3043"/>
      <c r="AE79" s="3043"/>
      <c r="AF79" s="3043"/>
      <c r="AG79" s="3043"/>
      <c r="AH79" s="3043"/>
      <c r="AI79" s="3043"/>
      <c r="AJ79" s="3044"/>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45">
        <f>Application!AH753</f>
        <v>0.5986254295532647</v>
      </c>
      <c r="F81" s="3046"/>
      <c r="G81" s="3046"/>
      <c r="H81" s="3046"/>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47">
        <f>0.6-ROUNDUP(E81,2)</f>
        <v>0</v>
      </c>
      <c r="F82" s="3048"/>
      <c r="G82" s="3048"/>
      <c r="H82" s="3048"/>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37">
        <f>IF(E82*200&gt;20,20,E82*200)</f>
        <v>0</v>
      </c>
      <c r="F83" s="3038"/>
      <c r="G83" s="3038"/>
      <c r="H83" s="3038"/>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0" t="s">
        <v>578</v>
      </c>
      <c r="C86" s="3000"/>
      <c r="D86" s="936" t="s">
        <v>1579</v>
      </c>
      <c r="E86" s="3039" t="s">
        <v>2152</v>
      </c>
      <c r="F86" s="3040"/>
      <c r="G86" s="3040"/>
      <c r="H86" s="3040"/>
      <c r="I86" s="3040"/>
      <c r="J86" s="3040"/>
      <c r="K86" s="3040"/>
      <c r="L86" s="3040"/>
      <c r="M86" s="3040"/>
      <c r="N86" s="3040"/>
      <c r="O86" s="3040"/>
      <c r="P86" s="3040"/>
      <c r="Q86" s="3040"/>
      <c r="R86" s="3040"/>
      <c r="S86" s="3040"/>
      <c r="T86" s="3040"/>
      <c r="U86" s="3040"/>
      <c r="V86" s="3040"/>
      <c r="W86" s="3040"/>
      <c r="X86" s="3040"/>
      <c r="Y86" s="3040"/>
      <c r="Z86" s="3040"/>
      <c r="AA86" s="3040"/>
      <c r="AB86" s="3040"/>
      <c r="AC86" s="3040"/>
      <c r="AD86" s="3040"/>
      <c r="AE86" s="3040"/>
      <c r="AF86" s="3040"/>
      <c r="AG86" s="3040"/>
      <c r="AH86" s="3040"/>
      <c r="AI86" s="3040"/>
      <c r="AJ86" s="3041"/>
      <c r="AK86" s="932"/>
      <c r="AL86" s="929"/>
      <c r="AM86" s="929"/>
      <c r="AN86" s="925"/>
    </row>
    <row r="87" spans="1:47" s="926" customFormat="1" ht="12.75" customHeight="1">
      <c r="A87" s="927"/>
      <c r="B87" s="928"/>
      <c r="C87" s="928"/>
      <c r="D87" s="928"/>
      <c r="E87" s="3042"/>
      <c r="F87" s="3043"/>
      <c r="G87" s="3043"/>
      <c r="H87" s="3043"/>
      <c r="I87" s="3043"/>
      <c r="J87" s="3043"/>
      <c r="K87" s="3043"/>
      <c r="L87" s="3043"/>
      <c r="M87" s="3043"/>
      <c r="N87" s="3043"/>
      <c r="O87" s="3043"/>
      <c r="P87" s="3043"/>
      <c r="Q87" s="3043"/>
      <c r="R87" s="3043"/>
      <c r="S87" s="3043"/>
      <c r="T87" s="3043"/>
      <c r="U87" s="3043"/>
      <c r="V87" s="3043"/>
      <c r="W87" s="3043"/>
      <c r="X87" s="3043"/>
      <c r="Y87" s="3043"/>
      <c r="Z87" s="3043"/>
      <c r="AA87" s="3043"/>
      <c r="AB87" s="3043"/>
      <c r="AC87" s="3043"/>
      <c r="AD87" s="3043"/>
      <c r="AE87" s="3043"/>
      <c r="AF87" s="3043"/>
      <c r="AG87" s="3043"/>
      <c r="AH87" s="3043"/>
      <c r="AI87" s="3043"/>
      <c r="AJ87" s="3044"/>
      <c r="AK87" s="932"/>
      <c r="AL87" s="929"/>
      <c r="AM87" s="929"/>
      <c r="AN87" s="925"/>
    </row>
    <row r="88" spans="1:47" s="926" customFormat="1" ht="12.75" customHeight="1">
      <c r="A88" s="927"/>
      <c r="B88" s="928"/>
      <c r="C88" s="928"/>
      <c r="D88" s="928"/>
      <c r="E88" s="3042"/>
      <c r="F88" s="3043"/>
      <c r="G88" s="3043"/>
      <c r="H88" s="3043"/>
      <c r="I88" s="3043"/>
      <c r="J88" s="3043"/>
      <c r="K88" s="3043"/>
      <c r="L88" s="3043"/>
      <c r="M88" s="3043"/>
      <c r="N88" s="3043"/>
      <c r="O88" s="3043"/>
      <c r="P88" s="3043"/>
      <c r="Q88" s="3043"/>
      <c r="R88" s="3043"/>
      <c r="S88" s="3043"/>
      <c r="T88" s="3043"/>
      <c r="U88" s="3043"/>
      <c r="V88" s="3043"/>
      <c r="W88" s="3043"/>
      <c r="X88" s="3043"/>
      <c r="Y88" s="3043"/>
      <c r="Z88" s="3043"/>
      <c r="AA88" s="3043"/>
      <c r="AB88" s="3043"/>
      <c r="AC88" s="3043"/>
      <c r="AD88" s="3043"/>
      <c r="AE88" s="3043"/>
      <c r="AF88" s="3043"/>
      <c r="AG88" s="3043"/>
      <c r="AH88" s="3043"/>
      <c r="AI88" s="3043"/>
      <c r="AJ88" s="3044"/>
      <c r="AK88" s="932"/>
      <c r="AL88" s="929"/>
      <c r="AM88" s="929"/>
      <c r="AN88" s="925"/>
    </row>
    <row r="89" spans="1:47" s="926" customFormat="1" ht="12.75" customHeight="1">
      <c r="A89" s="927"/>
      <c r="B89" s="928"/>
      <c r="C89" s="928"/>
      <c r="D89" s="928"/>
      <c r="E89" s="3042"/>
      <c r="F89" s="3043"/>
      <c r="G89" s="3043"/>
      <c r="H89" s="3043"/>
      <c r="I89" s="3043"/>
      <c r="J89" s="3043"/>
      <c r="K89" s="3043"/>
      <c r="L89" s="3043"/>
      <c r="M89" s="3043"/>
      <c r="N89" s="3043"/>
      <c r="O89" s="3043"/>
      <c r="P89" s="3043"/>
      <c r="Q89" s="3043"/>
      <c r="R89" s="3043"/>
      <c r="S89" s="3043"/>
      <c r="T89" s="3043"/>
      <c r="U89" s="3043"/>
      <c r="V89" s="3043"/>
      <c r="W89" s="3043"/>
      <c r="X89" s="3043"/>
      <c r="Y89" s="3043"/>
      <c r="Z89" s="3043"/>
      <c r="AA89" s="3043"/>
      <c r="AB89" s="3043"/>
      <c r="AC89" s="3043"/>
      <c r="AD89" s="3043"/>
      <c r="AE89" s="3043"/>
      <c r="AF89" s="3043"/>
      <c r="AG89" s="3043"/>
      <c r="AH89" s="3043"/>
      <c r="AI89" s="3043"/>
      <c r="AJ89" s="3044"/>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45">
        <f>Application!AH753</f>
        <v>0.5986254295532647</v>
      </c>
      <c r="F91" s="3046"/>
      <c r="G91" s="3046"/>
      <c r="H91" s="3046"/>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45">
        <f ca="1">SUMIF(Application!AH728:AL752,0.2,Application!G728:J752)/Application!G753+SUMIF(Application!AH728:AL752,0.25,Application!G728:J752)/Application!G753+SUMIF(Application!AH728:AL752,0.3,Application!G728:J752)/Application!G753</f>
        <v>0.10309278350515463</v>
      </c>
      <c r="F92" s="3046"/>
      <c r="G92" s="3046"/>
      <c r="H92" s="3046"/>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45">
        <f ca="1">SUMIF(Application!AH728:AL752,0.35,Application!G728:J752)/Application!G753+SUMIF(Application!AH728:AL752,0.4,Application!G728:J752)/Application!G753+SUMIF(Application!AH728:AL752,0.45,Application!G728:J752)/Application!G753+SUMIF(Application!AH728:AL752,0.5,Application!G728:J752)/Application!G753</f>
        <v>0.10309278350515463</v>
      </c>
      <c r="F93" s="3046"/>
      <c r="G93" s="3046"/>
      <c r="H93" s="3046"/>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56">
        <f ca="1">IF(AND(E91&lt;=0.6,E92&gt;=0.1,OR(E93&gt;=0.1,E92=1)),20,0)</f>
        <v>20</v>
      </c>
      <c r="F94" s="3057"/>
      <c r="G94" s="3057"/>
      <c r="H94" s="3057"/>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31">
        <f ca="1">MAX(AP83,AP94)</f>
        <v>20</v>
      </c>
      <c r="AL97" s="3032"/>
      <c r="AM97" s="3033"/>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16" t="s">
        <v>1576</v>
      </c>
      <c r="AF100" s="3016"/>
      <c r="AG100" s="3016"/>
      <c r="AH100" s="3016"/>
      <c r="AI100" s="3016"/>
      <c r="AJ100" s="3016"/>
      <c r="AK100" s="3016"/>
      <c r="AL100" s="929"/>
      <c r="AM100" s="929"/>
      <c r="AN100" s="925"/>
      <c r="AO100" s="926" t="str">
        <f>Application!B728</f>
        <v>SRO/Studio</v>
      </c>
      <c r="AQ100" s="926">
        <f>Application!O728</f>
        <v>396</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713</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872</v>
      </c>
    </row>
    <row r="103" spans="1:49" s="926" customFormat="1" ht="12.75" customHeight="1">
      <c r="A103" s="929"/>
      <c r="B103" s="3000" t="s">
        <v>578</v>
      </c>
      <c r="C103" s="3000"/>
      <c r="D103" s="936" t="s">
        <v>1577</v>
      </c>
      <c r="E103" s="3039" t="s">
        <v>2300</v>
      </c>
      <c r="F103" s="3040"/>
      <c r="G103" s="3040"/>
      <c r="H103" s="3040"/>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40"/>
      <c r="AD103" s="3040"/>
      <c r="AE103" s="3040"/>
      <c r="AF103" s="3040"/>
      <c r="AG103" s="3040"/>
      <c r="AH103" s="3040"/>
      <c r="AI103" s="3040"/>
      <c r="AJ103" s="3041"/>
      <c r="AK103" s="929"/>
      <c r="AL103" s="929"/>
      <c r="AM103" s="929"/>
      <c r="AN103" s="925"/>
      <c r="AO103" s="926" t="str">
        <f>Application!B731</f>
        <v>SRO/Studio</v>
      </c>
      <c r="AQ103" s="926">
        <f>Application!O731</f>
        <v>1190</v>
      </c>
      <c r="AU103" s="926" t="s">
        <v>2280</v>
      </c>
      <c r="AV103" s="1665" t="s">
        <v>2281</v>
      </c>
      <c r="AW103" s="926" t="s">
        <v>2282</v>
      </c>
    </row>
    <row r="104" spans="1:49" s="926" customFormat="1" ht="12.75" customHeight="1">
      <c r="A104" s="929"/>
      <c r="B104" s="928"/>
      <c r="C104" s="928"/>
      <c r="D104" s="928"/>
      <c r="E104" s="3042"/>
      <c r="F104" s="3043"/>
      <c r="G104" s="3043"/>
      <c r="H104" s="3043"/>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43"/>
      <c r="AD104" s="3043"/>
      <c r="AE104" s="3043"/>
      <c r="AF104" s="3043"/>
      <c r="AG104" s="3043"/>
      <c r="AH104" s="3043"/>
      <c r="AI104" s="3043"/>
      <c r="AJ104" s="3044"/>
      <c r="AK104" s="929"/>
      <c r="AL104" s="929"/>
      <c r="AM104" s="929"/>
      <c r="AN104" s="925"/>
      <c r="AO104" s="926" t="str">
        <f>Application!B732</f>
        <v>1 Bedroom</v>
      </c>
      <c r="AQ104" s="926">
        <f>Application!O732</f>
        <v>419</v>
      </c>
      <c r="AU104" s="1668" t="str">
        <f>E112</f>
        <v>Studio/SRO</v>
      </c>
      <c r="AV104" s="926">
        <f t="array" ref="AV104">SUM(IF(Application!B728:F752="SRO/Studio",Application!G728:J752))</f>
        <v>50</v>
      </c>
      <c r="AW104" s="1703">
        <f>AV104/AV110</f>
        <v>0.1718213058419244</v>
      </c>
    </row>
    <row r="105" spans="1:49" s="926" customFormat="1" ht="12.75" customHeight="1">
      <c r="A105" s="929"/>
      <c r="B105" s="928"/>
      <c r="C105" s="928"/>
      <c r="D105" s="928"/>
      <c r="E105" s="3042"/>
      <c r="F105" s="3043"/>
      <c r="G105" s="3043"/>
      <c r="H105" s="3043"/>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43"/>
      <c r="AD105" s="3043"/>
      <c r="AE105" s="3043"/>
      <c r="AF105" s="3043"/>
      <c r="AG105" s="3043"/>
      <c r="AH105" s="3043"/>
      <c r="AI105" s="3043"/>
      <c r="AJ105" s="3044"/>
      <c r="AK105" s="929"/>
      <c r="AL105" s="929"/>
      <c r="AM105" s="929"/>
      <c r="AN105" s="925"/>
      <c r="AO105" s="926" t="str">
        <f>Application!B733</f>
        <v>1 Bedroom</v>
      </c>
      <c r="AQ105" s="926">
        <f>Application!O733</f>
        <v>759</v>
      </c>
      <c r="AU105" s="1668" t="str">
        <f>J112</f>
        <v>1-bedroom</v>
      </c>
      <c r="AV105" s="926">
        <f t="array" ref="AV105">SUM(IF(Application!B728:F752="1 Bedroom",Application!G728:J752))</f>
        <v>93</v>
      </c>
      <c r="AW105" s="1703">
        <f>AV105/AV110</f>
        <v>0.31958762886597936</v>
      </c>
    </row>
    <row r="106" spans="1:49" s="926" customFormat="1" ht="12.75" customHeight="1">
      <c r="A106" s="929"/>
      <c r="B106" s="928"/>
      <c r="C106" s="928"/>
      <c r="D106" s="928"/>
      <c r="E106" s="3042"/>
      <c r="F106" s="3043"/>
      <c r="G106" s="3043"/>
      <c r="H106" s="3043"/>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43"/>
      <c r="AD106" s="3043"/>
      <c r="AE106" s="3043"/>
      <c r="AF106" s="3043"/>
      <c r="AG106" s="3043"/>
      <c r="AH106" s="3043"/>
      <c r="AI106" s="3043"/>
      <c r="AJ106" s="3044"/>
      <c r="AK106" s="929"/>
      <c r="AL106" s="929"/>
      <c r="AM106" s="929"/>
      <c r="AN106" s="925"/>
      <c r="AO106" s="926" t="str">
        <f>Application!B734</f>
        <v>1 Bedroom</v>
      </c>
      <c r="AQ106" s="926">
        <f>Application!O734</f>
        <v>929</v>
      </c>
      <c r="AU106" s="1668" t="str">
        <f>O112</f>
        <v>2-bedroom</v>
      </c>
      <c r="AV106" s="926">
        <f t="array" ref="AV106">SUM(IF(Application!B728:F752="2 Bedrooms",Application!G728:J752))</f>
        <v>73</v>
      </c>
      <c r="AW106" s="1703">
        <f>AV106/AV110</f>
        <v>0.25085910652920962</v>
      </c>
    </row>
    <row r="107" spans="1:49" s="926" customFormat="1" ht="12.75" customHeight="1">
      <c r="A107" s="929"/>
      <c r="B107" s="928"/>
      <c r="C107" s="928"/>
      <c r="D107" s="928"/>
      <c r="E107" s="3042"/>
      <c r="F107" s="3043"/>
      <c r="G107" s="3043"/>
      <c r="H107" s="3043"/>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43"/>
      <c r="AD107" s="3043"/>
      <c r="AE107" s="3043"/>
      <c r="AF107" s="3043"/>
      <c r="AG107" s="3043"/>
      <c r="AH107" s="3043"/>
      <c r="AI107" s="3043"/>
      <c r="AJ107" s="3044"/>
      <c r="AK107" s="929"/>
      <c r="AL107" s="929"/>
      <c r="AM107" s="929"/>
      <c r="AN107" s="925"/>
      <c r="AO107" s="926" t="str">
        <f>Application!B735</f>
        <v>1 Bedroom</v>
      </c>
      <c r="AQ107" s="926">
        <f>Application!O735</f>
        <v>1269</v>
      </c>
      <c r="AU107" s="1668" t="str">
        <f>T112</f>
        <v>3-bedroom</v>
      </c>
      <c r="AV107" s="926">
        <f t="array" ref="AV107">SUM(IF(Application!B728:F752="3 Bedrooms",Application!G728:J752))</f>
        <v>75</v>
      </c>
      <c r="AW107" s="1703">
        <f>AV107/AV110</f>
        <v>0.25773195876288657</v>
      </c>
    </row>
    <row r="108" spans="1:49" s="926" customFormat="1" ht="12.75" customHeight="1">
      <c r="A108" s="929"/>
      <c r="B108" s="928"/>
      <c r="C108" s="928"/>
      <c r="D108" s="928"/>
      <c r="E108" s="3042"/>
      <c r="F108" s="3043"/>
      <c r="G108" s="3043"/>
      <c r="H108" s="3043"/>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43"/>
      <c r="AD108" s="3043"/>
      <c r="AE108" s="3043"/>
      <c r="AF108" s="3043"/>
      <c r="AG108" s="3043"/>
      <c r="AH108" s="3043"/>
      <c r="AI108" s="3043"/>
      <c r="AJ108" s="3044"/>
      <c r="AK108" s="929"/>
      <c r="AL108" s="929"/>
      <c r="AM108" s="929"/>
      <c r="AN108" s="925"/>
      <c r="AO108" s="926" t="str">
        <f>Application!B736</f>
        <v>2 Bedrooms</v>
      </c>
      <c r="AQ108" s="926">
        <f>Application!O736</f>
        <v>498</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2"/>
      <c r="F109" s="3043"/>
      <c r="G109" s="3043"/>
      <c r="H109" s="3043"/>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43"/>
      <c r="AD109" s="3043"/>
      <c r="AE109" s="3043"/>
      <c r="AF109" s="3043"/>
      <c r="AG109" s="3043"/>
      <c r="AH109" s="3043"/>
      <c r="AI109" s="3043"/>
      <c r="AJ109" s="3044"/>
      <c r="AK109" s="929"/>
      <c r="AL109" s="929"/>
      <c r="AM109" s="929"/>
      <c r="AN109" s="925"/>
      <c r="AO109" s="926" t="str">
        <f>Application!B737</f>
        <v>2 Bedrooms</v>
      </c>
      <c r="AQ109" s="926">
        <f>Application!O737</f>
        <v>906</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2"/>
      <c r="F110" s="3043"/>
      <c r="G110" s="3043"/>
      <c r="H110" s="3043"/>
      <c r="I110" s="3043"/>
      <c r="J110" s="3043"/>
      <c r="K110" s="3043"/>
      <c r="L110" s="3043"/>
      <c r="M110" s="3043"/>
      <c r="N110" s="3043"/>
      <c r="O110" s="3043"/>
      <c r="P110" s="3043"/>
      <c r="Q110" s="3043"/>
      <c r="R110" s="3043"/>
      <c r="S110" s="3043"/>
      <c r="T110" s="3043"/>
      <c r="U110" s="3043"/>
      <c r="V110" s="3043"/>
      <c r="W110" s="3043"/>
      <c r="X110" s="3043"/>
      <c r="Y110" s="3043"/>
      <c r="Z110" s="3043"/>
      <c r="AA110" s="3043"/>
      <c r="AB110" s="3043"/>
      <c r="AC110" s="3043"/>
      <c r="AD110" s="3043"/>
      <c r="AE110" s="3043"/>
      <c r="AF110" s="3043"/>
      <c r="AG110" s="3043"/>
      <c r="AH110" s="3043"/>
      <c r="AI110" s="3043"/>
      <c r="AJ110" s="3044"/>
      <c r="AK110" s="929"/>
      <c r="AL110" s="929"/>
      <c r="AM110" s="929"/>
      <c r="AN110" s="925"/>
      <c r="AO110" s="926" t="str">
        <f>Application!B738</f>
        <v>2 Bedrooms</v>
      </c>
      <c r="AQ110" s="926">
        <f>Application!O738</f>
        <v>1110</v>
      </c>
      <c r="AV110" s="926">
        <f>SUM(AV104:AV109)</f>
        <v>291</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2 Bedrooms</v>
      </c>
      <c r="AQ111" s="926">
        <f>Application!O739</f>
        <v>1518</v>
      </c>
    </row>
    <row r="112" spans="1:49" s="926" customFormat="1" ht="12.75" customHeight="1">
      <c r="A112" s="929"/>
      <c r="B112" s="928"/>
      <c r="C112" s="929"/>
      <c r="D112" s="929"/>
      <c r="E112" s="3045" t="s">
        <v>1878</v>
      </c>
      <c r="F112" s="3046"/>
      <c r="G112" s="3046"/>
      <c r="H112" s="3046"/>
      <c r="I112" s="1422"/>
      <c r="J112" s="3046" t="s">
        <v>1931</v>
      </c>
      <c r="K112" s="3046"/>
      <c r="L112" s="3046"/>
      <c r="M112" s="3046"/>
      <c r="N112" s="1422"/>
      <c r="O112" s="3046" t="s">
        <v>1932</v>
      </c>
      <c r="P112" s="3046"/>
      <c r="Q112" s="3046"/>
      <c r="R112" s="3046"/>
      <c r="S112" s="1422"/>
      <c r="T112" s="3046" t="s">
        <v>1596</v>
      </c>
      <c r="U112" s="3046"/>
      <c r="V112" s="3046"/>
      <c r="W112" s="3046"/>
      <c r="X112" s="1422"/>
      <c r="Y112" s="3046" t="s">
        <v>1933</v>
      </c>
      <c r="Z112" s="3046"/>
      <c r="AA112" s="3046"/>
      <c r="AB112" s="3046"/>
      <c r="AC112" s="1422"/>
      <c r="AD112" s="3046" t="s">
        <v>1934</v>
      </c>
      <c r="AE112" s="3046"/>
      <c r="AF112" s="3046"/>
      <c r="AG112" s="3046"/>
      <c r="AH112" s="967"/>
      <c r="AI112" s="967"/>
      <c r="AJ112" s="969"/>
      <c r="AK112" s="929"/>
      <c r="AL112" s="929"/>
      <c r="AM112" s="929"/>
      <c r="AN112" s="925"/>
      <c r="AO112" s="926" t="str">
        <f>Application!B740</f>
        <v>3 Bedrooms</v>
      </c>
      <c r="AQ112" s="926">
        <f>Application!O740</f>
        <v>567</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3 Bedrooms</v>
      </c>
      <c r="AQ113" s="926">
        <f>Application!O741</f>
        <v>1039</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t="str">
        <f>Application!B742</f>
        <v>3 Bedrooms</v>
      </c>
      <c r="AQ114" s="926">
        <f>Application!O742</f>
        <v>1274</v>
      </c>
    </row>
    <row r="115" spans="1:52" s="926" customFormat="1" ht="12.75" customHeight="1">
      <c r="A115" s="929"/>
      <c r="B115" s="950"/>
      <c r="C115" s="929"/>
      <c r="D115" s="929"/>
      <c r="E115" s="3058">
        <v>1845</v>
      </c>
      <c r="F115" s="3035"/>
      <c r="G115" s="3035"/>
      <c r="H115" s="3035"/>
      <c r="I115" s="1424"/>
      <c r="J115" s="3035">
        <v>2111</v>
      </c>
      <c r="K115" s="3035"/>
      <c r="L115" s="3035"/>
      <c r="M115" s="3035"/>
      <c r="N115" s="1424"/>
      <c r="O115" s="3035">
        <v>2273</v>
      </c>
      <c r="P115" s="3035"/>
      <c r="Q115" s="3035"/>
      <c r="R115" s="3035"/>
      <c r="S115" s="1424"/>
      <c r="T115" s="3035">
        <v>2722</v>
      </c>
      <c r="U115" s="3035"/>
      <c r="V115" s="3035"/>
      <c r="W115" s="3035"/>
      <c r="X115" s="1424"/>
      <c r="Y115" s="3035"/>
      <c r="Z115" s="3035"/>
      <c r="AA115" s="3035"/>
      <c r="AB115" s="3035"/>
      <c r="AC115" s="1424"/>
      <c r="AD115" s="3035"/>
      <c r="AE115" s="3035"/>
      <c r="AF115" s="3035"/>
      <c r="AG115" s="3035"/>
      <c r="AH115" s="1422"/>
      <c r="AI115" s="1422"/>
      <c r="AJ115" s="1423"/>
      <c r="AK115" s="929"/>
      <c r="AL115" s="929"/>
      <c r="AM115" s="929"/>
      <c r="AN115" s="925"/>
      <c r="AO115" s="926" t="str">
        <f>Application!B743</f>
        <v>3 Bedrooms</v>
      </c>
      <c r="AQ115" s="926">
        <f>Application!O743</f>
        <v>1746</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36">
        <f>Application!DX663</f>
        <v>872.09999999999991</v>
      </c>
      <c r="F118" s="2994"/>
      <c r="G118" s="2994"/>
      <c r="H118" s="2994"/>
      <c r="I118" s="1424"/>
      <c r="J118" s="2994">
        <f>Application!EC663</f>
        <v>921.68817204301081</v>
      </c>
      <c r="K118" s="2994"/>
      <c r="L118" s="2994"/>
      <c r="M118" s="2994"/>
      <c r="N118" s="1424"/>
      <c r="O118" s="2994">
        <f>Application!EH663</f>
        <v>1093.2328767123288</v>
      </c>
      <c r="P118" s="2994"/>
      <c r="Q118" s="2994"/>
      <c r="R118" s="2994"/>
      <c r="S118" s="1428"/>
      <c r="T118" s="2994">
        <f>Application!EM663</f>
        <v>1293.0666666666666</v>
      </c>
      <c r="U118" s="2994"/>
      <c r="V118" s="2994"/>
      <c r="W118" s="2994"/>
      <c r="X118" s="1428"/>
      <c r="Y118" s="2994">
        <f>Application!ER663</f>
        <v>0</v>
      </c>
      <c r="Z118" s="2994"/>
      <c r="AA118" s="2994"/>
      <c r="AB118" s="2994"/>
      <c r="AC118" s="1428"/>
      <c r="AD118" s="2994">
        <f>Application!EW663</f>
        <v>0</v>
      </c>
      <c r="AE118" s="2994"/>
      <c r="AF118" s="2994"/>
      <c r="AG118" s="2994"/>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58">
        <f>(E115-E118)/E115</f>
        <v>0.52731707317073173</v>
      </c>
      <c r="F121" s="3259"/>
      <c r="G121" s="3259"/>
      <c r="H121" s="3260"/>
      <c r="I121" s="967"/>
      <c r="J121" s="3258">
        <f>(J115-J118)/J115</f>
        <v>0.56338788628943115</v>
      </c>
      <c r="K121" s="3259"/>
      <c r="L121" s="3259"/>
      <c r="M121" s="3260"/>
      <c r="N121" s="967"/>
      <c r="O121" s="3258">
        <f>(O115-O118)/O115</f>
        <v>0.51903525001657336</v>
      </c>
      <c r="P121" s="3259"/>
      <c r="Q121" s="3259"/>
      <c r="R121" s="3260"/>
      <c r="S121" s="967"/>
      <c r="T121" s="3258">
        <f>(T115-T118)/T115</f>
        <v>0.52495713935831501</v>
      </c>
      <c r="U121" s="3259"/>
      <c r="V121" s="3259"/>
      <c r="W121" s="3260"/>
      <c r="X121" s="967"/>
      <c r="Y121" s="3258" t="e">
        <f>(Y115-Y118)/Y115</f>
        <v>#DIV/0!</v>
      </c>
      <c r="Z121" s="3259"/>
      <c r="AA121" s="3259"/>
      <c r="AB121" s="3260"/>
      <c r="AC121" s="967"/>
      <c r="AD121" s="3258" t="e">
        <f>(AD115-AD118)/AD115</f>
        <v>#DIV/0!</v>
      </c>
      <c r="AE121" s="3259"/>
      <c r="AF121" s="3259"/>
      <c r="AG121" s="3260"/>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1">
        <f>IF(((E121-0.1)*AW104)&gt;0,((E121-0.1)*AW104),0)</f>
        <v>7.3422177520744286E-2</v>
      </c>
      <c r="F124" s="2992"/>
      <c r="G124" s="2992"/>
      <c r="H124" s="2993"/>
      <c r="I124" s="967"/>
      <c r="J124" s="2991">
        <f>IF(((J121-0.1)*AW105)&gt;0,((J121-0.1)*AW105),0)</f>
        <v>0.14809303582445738</v>
      </c>
      <c r="K124" s="2992"/>
      <c r="L124" s="2992"/>
      <c r="M124" s="2993"/>
      <c r="N124" s="967"/>
      <c r="O124" s="2991">
        <f>IF(((O121-0.1)*AW106)&gt;0,((O121-0.1)*AW106),0)</f>
        <v>0.10511880842340157</v>
      </c>
      <c r="P124" s="2992"/>
      <c r="Q124" s="2992"/>
      <c r="R124" s="2993"/>
      <c r="S124" s="967"/>
      <c r="T124" s="2991">
        <f>IF(((T121-0.1)*AW107)&gt;0,((T121-0.1)*AW107),0)</f>
        <v>0.10952503591709149</v>
      </c>
      <c r="U124" s="2992"/>
      <c r="V124" s="2992"/>
      <c r="W124" s="2993"/>
      <c r="X124" s="967"/>
      <c r="Y124" s="2991" t="e">
        <f>IF(((Y121-0.1)*AW108)&gt;0,((Y121-0.1)*AW108),0)</f>
        <v>#DIV/0!</v>
      </c>
      <c r="Z124" s="2992"/>
      <c r="AA124" s="2992"/>
      <c r="AB124" s="2993"/>
      <c r="AC124" s="967"/>
      <c r="AD124" s="2991" t="e">
        <f>IF(((AD121-0.1)*AW109)&gt;0,((AD121-0.1)*AW109),0)</f>
        <v>#DIV/0!</v>
      </c>
      <c r="AE124" s="2992"/>
      <c r="AF124" s="2992"/>
      <c r="AG124" s="2993"/>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58">
        <f>ROUNDDOWN(SUMIF(E124:AG124,"&gt;0"),2)</f>
        <v>0.43</v>
      </c>
      <c r="F126" s="3259"/>
      <c r="G126" s="3259"/>
      <c r="H126" s="3260"/>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1">
        <f>IF((E126*100)&gt;10,10,E126*100)</f>
        <v>10</v>
      </c>
      <c r="F127" s="3032"/>
      <c r="G127" s="3032"/>
      <c r="H127" s="3033"/>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31">
        <f>E127</f>
        <v>10</v>
      </c>
      <c r="AL131" s="3032"/>
      <c r="AM131" s="3033"/>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16" t="s">
        <v>1576</v>
      </c>
      <c r="AF134" s="3016"/>
      <c r="AG134" s="3016"/>
      <c r="AH134" s="3016"/>
      <c r="AI134" s="3016"/>
      <c r="AJ134" s="3016"/>
      <c r="AK134" s="3016"/>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4" t="s">
        <v>1600</v>
      </c>
      <c r="AG136" s="3054"/>
      <c r="AH136" s="3054"/>
      <c r="AI136" s="3054"/>
      <c r="AJ136" s="3054"/>
      <c r="AK136" s="3054"/>
      <c r="AL136" s="3054"/>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55" t="s">
        <v>2552</v>
      </c>
      <c r="C138" s="3055"/>
      <c r="D138" s="3055"/>
      <c r="E138" s="3055"/>
      <c r="F138" s="3055"/>
      <c r="G138" s="3055"/>
      <c r="H138" s="3055"/>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55"/>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071" t="s">
        <v>1603</v>
      </c>
      <c r="C141" s="3071"/>
      <c r="D141" s="3071"/>
      <c r="E141" s="3071"/>
      <c r="F141" s="3071"/>
      <c r="G141" s="3071"/>
      <c r="H141" s="3071"/>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71"/>
      <c r="AD141" s="3071"/>
      <c r="AE141" s="3071"/>
      <c r="AF141" s="3071"/>
      <c r="AG141" s="3071"/>
      <c r="AH141" s="3071"/>
      <c r="AI141" s="3071"/>
      <c r="AM141" s="982"/>
      <c r="AN141" s="922"/>
      <c r="AO141" s="990" t="s">
        <v>1603</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072" t="s">
        <v>626</v>
      </c>
      <c r="AC143" s="3072"/>
      <c r="AD143" s="993"/>
      <c r="AE143" s="926"/>
      <c r="AF143" s="926"/>
      <c r="AG143" s="926"/>
      <c r="AH143" s="926"/>
      <c r="AI143" s="926"/>
      <c r="AJ143" s="926"/>
      <c r="AK143" s="926"/>
      <c r="AL143" s="926"/>
      <c r="AM143" s="982"/>
      <c r="AN143" s="922"/>
      <c r="AO143" s="994"/>
      <c r="AP143" s="994"/>
    </row>
    <row r="144" spans="1:52" s="923" customFormat="1" ht="9.1"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071" t="s">
        <v>1605</v>
      </c>
      <c r="C146" s="3071"/>
      <c r="D146" s="3071"/>
      <c r="E146" s="3071"/>
      <c r="F146" s="3071"/>
      <c r="G146" s="3071"/>
      <c r="H146" s="3071"/>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71"/>
      <c r="AD146" s="3071"/>
      <c r="AE146" s="3071"/>
      <c r="AF146" s="3071"/>
      <c r="AG146" s="3071"/>
      <c r="AH146" s="3071"/>
      <c r="AI146" s="3071"/>
      <c r="AJ146" s="3071"/>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074">
        <f>IF($AB$143="N/A",VLOOKUP($B$141,$AO$139:$AP$142,2,FALSE),VLOOKUP($B$146,$AO$144:$AP$147,2,FALSE))</f>
        <v>7</v>
      </c>
      <c r="AK149" s="3074"/>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4" t="s">
        <v>1614</v>
      </c>
      <c r="AG151" s="3054"/>
      <c r="AH151" s="3054"/>
      <c r="AI151" s="3054"/>
      <c r="AJ151" s="3054"/>
      <c r="AK151" s="3054"/>
      <c r="AL151" s="3054"/>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1" t="s">
        <v>1612</v>
      </c>
      <c r="D153" s="3071"/>
      <c r="E153" s="3071"/>
      <c r="F153" s="3071"/>
      <c r="G153" s="3071"/>
      <c r="H153" s="3071"/>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71"/>
      <c r="AD153" s="3071"/>
      <c r="AE153" s="3071"/>
      <c r="AF153" s="3071"/>
      <c r="AG153" s="3071"/>
      <c r="AH153" s="3071"/>
      <c r="AI153" s="3071"/>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2" t="s">
        <v>626</v>
      </c>
      <c r="AD155" s="3072"/>
      <c r="AE155" s="926"/>
      <c r="AF155" s="926"/>
      <c r="AG155" s="926"/>
      <c r="AH155" s="926"/>
      <c r="AI155" s="926"/>
      <c r="AJ155" s="926"/>
      <c r="AK155" s="926"/>
      <c r="AL155" s="926"/>
      <c r="AM155" s="1011"/>
      <c r="AN155" s="996"/>
      <c r="AO155" s="994" t="s">
        <v>1612</v>
      </c>
      <c r="AP155" s="1003">
        <v>3</v>
      </c>
    </row>
    <row r="156" spans="1:42" s="939" customFormat="1" ht="9.1"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071" t="s">
        <v>1605</v>
      </c>
      <c r="D157" s="3071"/>
      <c r="E157" s="3071"/>
      <c r="F157" s="3071"/>
      <c r="G157" s="3071"/>
      <c r="H157" s="3071"/>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71"/>
      <c r="AD157" s="3071"/>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55" t="s">
        <v>2610</v>
      </c>
      <c r="D161" s="3055"/>
      <c r="E161" s="3055"/>
      <c r="F161" s="3055"/>
      <c r="G161" s="3055"/>
      <c r="H161" s="3055"/>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55"/>
      <c r="AD161" s="3055"/>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73">
        <f>IF($AC$155="N/A",VLOOKUP($C$153,$AO$153:$AP$156,2,FALSE),VLOOKUP($C$157,$AO$160:$AP$162,2,FALSE))</f>
        <v>3</v>
      </c>
      <c r="AK163" s="3073"/>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31">
        <f>$AJ$149+$AJ$163</f>
        <v>10</v>
      </c>
      <c r="AL166" s="3032"/>
      <c r="AM166" s="3033"/>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68" t="s">
        <v>1576</v>
      </c>
      <c r="AF169" s="3068"/>
      <c r="AG169" s="3068"/>
      <c r="AH169" s="3068"/>
      <c r="AI169" s="3068"/>
      <c r="AJ169" s="3068"/>
      <c r="AK169" s="3068"/>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069" t="s">
        <v>1151</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1019"/>
      <c r="AE171" s="1019"/>
      <c r="AF171" s="3054" t="s">
        <v>1625</v>
      </c>
      <c r="AG171" s="3054"/>
      <c r="AH171" s="3054"/>
      <c r="AI171" s="3054"/>
      <c r="AJ171" s="3054"/>
      <c r="AK171" s="3054"/>
      <c r="AL171" s="3054"/>
      <c r="AN171" s="996"/>
      <c r="AP171" s="939" t="s">
        <v>1153</v>
      </c>
      <c r="AQ171" s="939">
        <v>10</v>
      </c>
    </row>
    <row r="172" spans="1:81" s="939" customFormat="1" ht="12.75" customHeight="1">
      <c r="A172" s="923"/>
      <c r="B172" s="3070" t="s">
        <v>2153</v>
      </c>
      <c r="C172" s="3070"/>
      <c r="D172" s="3070"/>
      <c r="E172" s="3070"/>
      <c r="F172" s="3070"/>
      <c r="G172" s="3070"/>
      <c r="H172" s="3070"/>
      <c r="I172" s="3070"/>
      <c r="J172" s="3070"/>
      <c r="K172" s="3070"/>
      <c r="L172" s="3070"/>
      <c r="M172" s="3070"/>
      <c r="N172" s="3070"/>
      <c r="O172" s="3070"/>
      <c r="P172" s="3070"/>
      <c r="Q172" s="3070"/>
      <c r="R172" s="3070"/>
      <c r="S172" s="3070"/>
      <c r="T172" s="3055" t="s">
        <v>626</v>
      </c>
      <c r="U172" s="3055"/>
      <c r="V172" s="3055"/>
      <c r="W172" s="3055"/>
      <c r="X172" s="3055"/>
      <c r="Y172" s="3055"/>
      <c r="Z172" s="3055"/>
      <c r="AA172" s="3055"/>
      <c r="AB172" s="3055"/>
      <c r="AC172" s="3055"/>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78">
        <f>IF(AK72&gt;0,VLOOKUP($B$171,AP168:AQ175,2,FALSE),0)</f>
        <v>10</v>
      </c>
      <c r="AL174" s="3079"/>
      <c r="AM174" s="3080"/>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68" t="s">
        <v>1634</v>
      </c>
      <c r="AF177" s="3068"/>
      <c r="AG177" s="3068"/>
      <c r="AH177" s="3068"/>
      <c r="AI177" s="3068"/>
      <c r="AJ177" s="3068"/>
      <c r="AK177" s="3068"/>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0" t="s">
        <v>2664</v>
      </c>
      <c r="C182" s="3060"/>
      <c r="D182" s="3060"/>
      <c r="E182" s="3060"/>
      <c r="F182" s="3060"/>
      <c r="G182" s="3060"/>
      <c r="H182" s="3060"/>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1393"/>
      <c r="AD182" s="3063">
        <v>6000000</v>
      </c>
      <c r="AE182" s="3063"/>
      <c r="AF182" s="3063"/>
      <c r="AG182" s="3063"/>
      <c r="AH182" s="3063"/>
      <c r="AI182" s="3063"/>
      <c r="AJ182" s="3063"/>
      <c r="AK182" s="1020"/>
    </row>
    <row r="183" spans="1:37">
      <c r="A183" s="1012"/>
      <c r="B183" s="3060"/>
      <c r="C183" s="3060"/>
      <c r="D183" s="3060"/>
      <c r="E183" s="3060"/>
      <c r="F183" s="3060"/>
      <c r="G183" s="3060"/>
      <c r="H183" s="3060"/>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1393"/>
      <c r="AD183" s="3063"/>
      <c r="AE183" s="3063"/>
      <c r="AF183" s="3063"/>
      <c r="AG183" s="3063"/>
      <c r="AH183" s="3063"/>
      <c r="AI183" s="3063"/>
      <c r="AJ183" s="3063"/>
      <c r="AK183" s="1020"/>
    </row>
    <row r="184" spans="1:37">
      <c r="A184" s="1012"/>
      <c r="B184" s="3060"/>
      <c r="C184" s="3060"/>
      <c r="D184" s="3060"/>
      <c r="E184" s="3060"/>
      <c r="F184" s="3060"/>
      <c r="G184" s="3060"/>
      <c r="H184" s="3060"/>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1393"/>
      <c r="AD184" s="3063"/>
      <c r="AE184" s="3063"/>
      <c r="AF184" s="3063"/>
      <c r="AG184" s="3063"/>
      <c r="AH184" s="3063"/>
      <c r="AI184" s="3063"/>
      <c r="AJ184" s="3063"/>
      <c r="AK184" s="1020"/>
    </row>
    <row r="185" spans="1:37">
      <c r="A185" s="1012"/>
      <c r="B185" s="3060"/>
      <c r="C185" s="3060"/>
      <c r="D185" s="3060"/>
      <c r="E185" s="3060"/>
      <c r="F185" s="3060"/>
      <c r="G185" s="3060"/>
      <c r="H185" s="3060"/>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1393"/>
      <c r="AD185" s="3063"/>
      <c r="AE185" s="3063"/>
      <c r="AF185" s="3063"/>
      <c r="AG185" s="3063"/>
      <c r="AH185" s="3063"/>
      <c r="AI185" s="3063"/>
      <c r="AJ185" s="3063"/>
      <c r="AK185" s="1020"/>
    </row>
    <row r="186" spans="1:37">
      <c r="A186" s="1012"/>
      <c r="B186" s="3060"/>
      <c r="C186" s="3060"/>
      <c r="D186" s="3060"/>
      <c r="E186" s="3060"/>
      <c r="F186" s="3060"/>
      <c r="G186" s="3060"/>
      <c r="H186" s="3060"/>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1393"/>
      <c r="AD186" s="3063"/>
      <c r="AE186" s="3063"/>
      <c r="AF186" s="3063"/>
      <c r="AG186" s="3063"/>
      <c r="AH186" s="3063"/>
      <c r="AI186" s="3063"/>
      <c r="AJ186" s="3063"/>
      <c r="AK186" s="1020"/>
    </row>
    <row r="187" spans="1:37">
      <c r="A187" s="1012"/>
      <c r="B187" s="3060"/>
      <c r="C187" s="3060"/>
      <c r="D187" s="3060"/>
      <c r="E187" s="3060"/>
      <c r="F187" s="3060"/>
      <c r="G187" s="3060"/>
      <c r="H187" s="3060"/>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1393"/>
      <c r="AD187" s="3063"/>
      <c r="AE187" s="3063"/>
      <c r="AF187" s="3063"/>
      <c r="AG187" s="3063"/>
      <c r="AH187" s="3063"/>
      <c r="AI187" s="3063"/>
      <c r="AJ187" s="3063"/>
      <c r="AK187" s="1020"/>
    </row>
    <row r="188" spans="1:37">
      <c r="A188" s="1012"/>
      <c r="B188" s="3060"/>
      <c r="C188" s="3060"/>
      <c r="D188" s="3060"/>
      <c r="E188" s="3060"/>
      <c r="F188" s="3060"/>
      <c r="G188" s="3060"/>
      <c r="H188" s="3060"/>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1393"/>
      <c r="AD188" s="3063"/>
      <c r="AE188" s="3063"/>
      <c r="AF188" s="3063"/>
      <c r="AG188" s="3063"/>
      <c r="AH188" s="3063"/>
      <c r="AI188" s="3063"/>
      <c r="AJ188" s="3063"/>
      <c r="AK188" s="1020"/>
    </row>
    <row r="189" spans="1:37">
      <c r="A189" s="1012"/>
      <c r="B189" s="3060"/>
      <c r="C189" s="3060"/>
      <c r="D189" s="3060"/>
      <c r="E189" s="3060"/>
      <c r="F189" s="3060"/>
      <c r="G189" s="3060"/>
      <c r="H189" s="3060"/>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1393"/>
      <c r="AD189" s="3063"/>
      <c r="AE189" s="3063"/>
      <c r="AF189" s="3063"/>
      <c r="AG189" s="3063"/>
      <c r="AH189" s="3063"/>
      <c r="AI189" s="3063"/>
      <c r="AJ189" s="3063"/>
      <c r="AK189" s="1020"/>
    </row>
    <row r="190" spans="1:37">
      <c r="A190" s="1012"/>
      <c r="B190" s="3060"/>
      <c r="C190" s="3060"/>
      <c r="D190" s="3060"/>
      <c r="E190" s="3060"/>
      <c r="F190" s="3060"/>
      <c r="G190" s="3060"/>
      <c r="H190" s="3060"/>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1393"/>
      <c r="AD190" s="3063"/>
      <c r="AE190" s="3063"/>
      <c r="AF190" s="3063"/>
      <c r="AG190" s="3063"/>
      <c r="AH190" s="3063"/>
      <c r="AI190" s="3063"/>
      <c r="AJ190" s="3063"/>
      <c r="AK190" s="1020"/>
    </row>
    <row r="191" spans="1:37">
      <c r="A191" s="1012"/>
      <c r="B191" s="3060"/>
      <c r="C191" s="3060"/>
      <c r="D191" s="3060"/>
      <c r="E191" s="3060"/>
      <c r="F191" s="3060"/>
      <c r="G191" s="3060"/>
      <c r="H191" s="3060"/>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1393"/>
      <c r="AD191" s="3063"/>
      <c r="AE191" s="3063"/>
      <c r="AF191" s="3063"/>
      <c r="AG191" s="3063"/>
      <c r="AH191" s="3063"/>
      <c r="AI191" s="3063"/>
      <c r="AJ191" s="3063"/>
      <c r="AK191" s="1020"/>
    </row>
    <row r="192" spans="1:37">
      <c r="A192" s="1012"/>
      <c r="B192" s="3228" t="s">
        <v>1922</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3"/>
      <c r="AD192" s="3085">
        <f>AB243</f>
        <v>0</v>
      </c>
      <c r="AE192" s="3085"/>
      <c r="AF192" s="3085"/>
      <c r="AG192" s="3085"/>
      <c r="AH192" s="3085"/>
      <c r="AI192" s="3085"/>
      <c r="AJ192" s="3085"/>
      <c r="AK192" s="1020"/>
    </row>
    <row r="193" spans="1:37">
      <c r="A193" s="1012"/>
      <c r="B193" s="3226" t="s">
        <v>1885</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3"/>
      <c r="AD193" s="3086">
        <f>'Sources and Uses Budget'!B15</f>
        <v>0</v>
      </c>
      <c r="AE193" s="3086"/>
      <c r="AF193" s="3086"/>
      <c r="AG193" s="3086"/>
      <c r="AH193" s="3086"/>
      <c r="AI193" s="3086"/>
      <c r="AJ193" s="3086"/>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090">
        <f>SUM(AD182:AJ192)-AD193</f>
        <v>6000000</v>
      </c>
      <c r="AE194" s="3090"/>
      <c r="AF194" s="3090"/>
      <c r="AG194" s="3090"/>
      <c r="AH194" s="3090"/>
      <c r="AI194" s="3090"/>
      <c r="AJ194" s="3090"/>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66" t="s">
        <v>1902</v>
      </c>
      <c r="J205" s="3066"/>
      <c r="K205" s="3066"/>
      <c r="L205" s="987"/>
      <c r="M205" s="987"/>
      <c r="N205" s="987"/>
      <c r="O205" s="987"/>
      <c r="P205" s="987"/>
      <c r="Q205" s="987"/>
      <c r="R205" s="987"/>
      <c r="S205" s="987"/>
      <c r="T205" s="3262" t="s">
        <v>1896</v>
      </c>
      <c r="U205" s="3262"/>
      <c r="V205" s="3262"/>
      <c r="W205" s="3262"/>
      <c r="X205" s="3262"/>
      <c r="Y205" s="3262"/>
      <c r="Z205" s="1397"/>
      <c r="AA205" s="1398"/>
      <c r="AB205" s="3059" t="s">
        <v>1897</v>
      </c>
      <c r="AC205" s="3059"/>
      <c r="AD205" s="3059"/>
      <c r="AE205" s="3059"/>
      <c r="AF205" s="3059"/>
      <c r="AG205" s="3059"/>
      <c r="AH205" s="1367"/>
      <c r="AI205" s="1367"/>
      <c r="AJ205" s="1367"/>
      <c r="AK205" s="1020"/>
    </row>
    <row r="206" spans="1:37">
      <c r="A206" s="1012"/>
      <c r="B206" s="3064" t="s">
        <v>1875</v>
      </c>
      <c r="C206" s="3064"/>
      <c r="D206" s="3064"/>
      <c r="E206" s="3064"/>
      <c r="F206" s="3064"/>
      <c r="G206" s="3064"/>
      <c r="I206" s="3065" t="s">
        <v>1903</v>
      </c>
      <c r="J206" s="3065"/>
      <c r="K206" s="3065"/>
      <c r="L206" s="1699"/>
      <c r="N206" s="3052" t="s">
        <v>1898</v>
      </c>
      <c r="O206" s="3052"/>
      <c r="P206" s="3052"/>
      <c r="Q206" s="3052"/>
      <c r="R206" s="3052"/>
      <c r="T206" s="3052" t="s">
        <v>1899</v>
      </c>
      <c r="U206" s="3052"/>
      <c r="V206" s="3052"/>
      <c r="W206" s="3052"/>
      <c r="X206" s="3052"/>
      <c r="Y206" s="3052"/>
      <c r="Z206" s="1399"/>
      <c r="AA206" s="1398"/>
      <c r="AB206" s="3229" t="s">
        <v>1900</v>
      </c>
      <c r="AC206" s="3229"/>
      <c r="AD206" s="3229"/>
      <c r="AE206" s="3229"/>
      <c r="AF206" s="3229"/>
      <c r="AG206" s="3229"/>
      <c r="AH206" s="1367"/>
      <c r="AI206" s="1367"/>
      <c r="AJ206" s="1367"/>
      <c r="AK206" s="1020"/>
    </row>
    <row r="207" spans="1:37">
      <c r="A207" s="1012"/>
      <c r="B207" s="3067" t="s">
        <v>1380</v>
      </c>
      <c r="C207" s="3067"/>
      <c r="D207" s="3067"/>
      <c r="E207" s="3067"/>
      <c r="F207" s="3067"/>
      <c r="G207" s="3067"/>
      <c r="H207" s="1401"/>
      <c r="I207" s="3050"/>
      <c r="J207" s="3050"/>
      <c r="K207" s="3050"/>
      <c r="L207" s="1699"/>
      <c r="N207" s="3053"/>
      <c r="O207" s="3053"/>
      <c r="P207" s="3053"/>
      <c r="Q207" s="3053"/>
      <c r="R207" s="3053"/>
      <c r="T207" s="3227"/>
      <c r="U207" s="3227"/>
      <c r="V207" s="3227"/>
      <c r="W207" s="3227"/>
      <c r="X207" s="3227"/>
      <c r="Y207" s="3227"/>
      <c r="Z207" s="1400"/>
      <c r="AA207" s="1400"/>
      <c r="AB207" s="3049">
        <f t="shared" ref="AB207:AB216" si="0">MAX(($T207-$N207)*$I207*12,0)</f>
        <v>0</v>
      </c>
      <c r="AC207" s="3049"/>
      <c r="AD207" s="3049"/>
      <c r="AE207" s="3049"/>
      <c r="AF207" s="3049"/>
      <c r="AG207" s="3049"/>
      <c r="AH207" s="1367"/>
      <c r="AI207" s="1367"/>
      <c r="AJ207" s="1367"/>
      <c r="AK207" s="1020"/>
    </row>
    <row r="208" spans="1:37">
      <c r="A208" s="1012"/>
      <c r="B208" s="3067" t="s">
        <v>1380</v>
      </c>
      <c r="C208" s="3067"/>
      <c r="D208" s="3067"/>
      <c r="E208" s="3067"/>
      <c r="F208" s="3067"/>
      <c r="G208" s="3067"/>
      <c r="I208" s="3050"/>
      <c r="J208" s="3050"/>
      <c r="K208" s="3050"/>
      <c r="L208" s="1699"/>
      <c r="N208" s="3053"/>
      <c r="O208" s="3053"/>
      <c r="P208" s="3053"/>
      <c r="Q208" s="3053"/>
      <c r="R208" s="3053"/>
      <c r="T208" s="3227"/>
      <c r="U208" s="3227"/>
      <c r="V208" s="3227"/>
      <c r="W208" s="3227"/>
      <c r="X208" s="3227"/>
      <c r="Y208" s="3227"/>
      <c r="Z208" s="1400"/>
      <c r="AA208" s="1400"/>
      <c r="AB208" s="3049">
        <f t="shared" si="0"/>
        <v>0</v>
      </c>
      <c r="AC208" s="3049"/>
      <c r="AD208" s="3049"/>
      <c r="AE208" s="3049"/>
      <c r="AF208" s="3049"/>
      <c r="AG208" s="3049"/>
      <c r="AH208" s="1367"/>
      <c r="AI208" s="1367"/>
      <c r="AJ208" s="1367"/>
      <c r="AK208" s="1020"/>
    </row>
    <row r="209" spans="1:37">
      <c r="A209" s="1012"/>
      <c r="B209" s="3067" t="s">
        <v>1380</v>
      </c>
      <c r="C209" s="3067"/>
      <c r="D209" s="3067"/>
      <c r="E209" s="3067"/>
      <c r="F209" s="3067"/>
      <c r="G209" s="3067"/>
      <c r="I209" s="3050"/>
      <c r="J209" s="3050"/>
      <c r="K209" s="3050"/>
      <c r="L209" s="1699"/>
      <c r="N209" s="3053"/>
      <c r="O209" s="3053"/>
      <c r="P209" s="3053"/>
      <c r="Q209" s="3053"/>
      <c r="R209" s="3053"/>
      <c r="T209" s="3227"/>
      <c r="U209" s="3227"/>
      <c r="V209" s="3227"/>
      <c r="W209" s="3227"/>
      <c r="X209" s="3227"/>
      <c r="Y209" s="3227"/>
      <c r="Z209" s="1400"/>
      <c r="AA209" s="1400"/>
      <c r="AB209" s="3049">
        <f t="shared" si="0"/>
        <v>0</v>
      </c>
      <c r="AC209" s="3049"/>
      <c r="AD209" s="3049"/>
      <c r="AE209" s="3049"/>
      <c r="AF209" s="3049"/>
      <c r="AG209" s="3049"/>
      <c r="AH209" s="1367"/>
      <c r="AI209" s="1367"/>
      <c r="AJ209" s="1367"/>
      <c r="AK209" s="1020"/>
    </row>
    <row r="210" spans="1:37">
      <c r="A210" s="1012"/>
      <c r="B210" s="3067" t="s">
        <v>1380</v>
      </c>
      <c r="C210" s="3067"/>
      <c r="D210" s="3067"/>
      <c r="E210" s="3067"/>
      <c r="F210" s="3067"/>
      <c r="G210" s="3067"/>
      <c r="I210" s="3050"/>
      <c r="J210" s="3050"/>
      <c r="K210" s="3050"/>
      <c r="L210" s="1699"/>
      <c r="N210" s="3053"/>
      <c r="O210" s="3053"/>
      <c r="P210" s="3053"/>
      <c r="Q210" s="3053"/>
      <c r="R210" s="3053"/>
      <c r="T210" s="3227"/>
      <c r="U210" s="3227"/>
      <c r="V210" s="3227"/>
      <c r="W210" s="3227"/>
      <c r="X210" s="3227"/>
      <c r="Y210" s="3227"/>
      <c r="Z210" s="1400"/>
      <c r="AA210" s="1400"/>
      <c r="AB210" s="3049">
        <f t="shared" si="0"/>
        <v>0</v>
      </c>
      <c r="AC210" s="3049"/>
      <c r="AD210" s="3049"/>
      <c r="AE210" s="3049"/>
      <c r="AF210" s="3049"/>
      <c r="AG210" s="3049"/>
      <c r="AH210" s="1367"/>
      <c r="AI210" s="1367"/>
      <c r="AJ210" s="1367"/>
      <c r="AK210" s="1020"/>
    </row>
    <row r="211" spans="1:37">
      <c r="A211" s="1012"/>
      <c r="B211" s="3067" t="s">
        <v>1380</v>
      </c>
      <c r="C211" s="3067"/>
      <c r="D211" s="3067"/>
      <c r="E211" s="3067"/>
      <c r="F211" s="3067"/>
      <c r="G211" s="3067"/>
      <c r="I211" s="3050"/>
      <c r="J211" s="3050"/>
      <c r="K211" s="3050"/>
      <c r="L211" s="1711"/>
      <c r="N211" s="3053"/>
      <c r="O211" s="3053"/>
      <c r="P211" s="3053"/>
      <c r="Q211" s="3053"/>
      <c r="R211" s="3053"/>
      <c r="T211" s="3227"/>
      <c r="U211" s="3227"/>
      <c r="V211" s="3227"/>
      <c r="W211" s="3227"/>
      <c r="X211" s="3227"/>
      <c r="Y211" s="3227"/>
      <c r="Z211" s="1400"/>
      <c r="AA211" s="1400"/>
      <c r="AB211" s="3049">
        <f t="shared" si="0"/>
        <v>0</v>
      </c>
      <c r="AC211" s="3049"/>
      <c r="AD211" s="3049"/>
      <c r="AE211" s="3049"/>
      <c r="AF211" s="3049"/>
      <c r="AG211" s="3049"/>
      <c r="AH211" s="1367"/>
      <c r="AI211" s="1367"/>
      <c r="AJ211" s="1367"/>
      <c r="AK211" s="1020"/>
    </row>
    <row r="212" spans="1:37">
      <c r="A212" s="1012"/>
      <c r="B212" s="3067" t="s">
        <v>1380</v>
      </c>
      <c r="C212" s="3067"/>
      <c r="D212" s="3067"/>
      <c r="E212" s="3067"/>
      <c r="F212" s="3067"/>
      <c r="G212" s="3067"/>
      <c r="I212" s="3050"/>
      <c r="J212" s="3050"/>
      <c r="K212" s="3050"/>
      <c r="L212" s="1711"/>
      <c r="N212" s="3053"/>
      <c r="O212" s="3053"/>
      <c r="P212" s="3053"/>
      <c r="Q212" s="3053"/>
      <c r="R212" s="3053"/>
      <c r="T212" s="3227"/>
      <c r="U212" s="3227"/>
      <c r="V212" s="3227"/>
      <c r="W212" s="3227"/>
      <c r="X212" s="3227"/>
      <c r="Y212" s="3227"/>
      <c r="Z212" s="1400"/>
      <c r="AA212" s="1400"/>
      <c r="AB212" s="3049">
        <f t="shared" si="0"/>
        <v>0</v>
      </c>
      <c r="AC212" s="3049"/>
      <c r="AD212" s="3049"/>
      <c r="AE212" s="3049"/>
      <c r="AF212" s="3049"/>
      <c r="AG212" s="3049"/>
      <c r="AH212" s="1367"/>
      <c r="AI212" s="1367"/>
      <c r="AJ212" s="1367"/>
      <c r="AK212" s="1020"/>
    </row>
    <row r="213" spans="1:37">
      <c r="A213" s="1012"/>
      <c r="B213" s="3067" t="s">
        <v>1380</v>
      </c>
      <c r="C213" s="3067"/>
      <c r="D213" s="3067"/>
      <c r="E213" s="3067"/>
      <c r="F213" s="3067"/>
      <c r="G213" s="3067"/>
      <c r="I213" s="3050"/>
      <c r="J213" s="3050"/>
      <c r="K213" s="3050"/>
      <c r="L213" s="1711"/>
      <c r="N213" s="3053"/>
      <c r="O213" s="3053"/>
      <c r="P213" s="3053"/>
      <c r="Q213" s="3053"/>
      <c r="R213" s="3053"/>
      <c r="T213" s="3227"/>
      <c r="U213" s="3227"/>
      <c r="V213" s="3227"/>
      <c r="W213" s="3227"/>
      <c r="X213" s="3227"/>
      <c r="Y213" s="3227"/>
      <c r="Z213" s="1400"/>
      <c r="AA213" s="1400"/>
      <c r="AB213" s="3049">
        <f t="shared" si="0"/>
        <v>0</v>
      </c>
      <c r="AC213" s="3049"/>
      <c r="AD213" s="3049"/>
      <c r="AE213" s="3049"/>
      <c r="AF213" s="3049"/>
      <c r="AG213" s="3049"/>
      <c r="AH213" s="1367"/>
      <c r="AI213" s="1367"/>
      <c r="AJ213" s="1367"/>
      <c r="AK213" s="1020"/>
    </row>
    <row r="214" spans="1:37">
      <c r="A214" s="1012"/>
      <c r="B214" s="3067" t="s">
        <v>1380</v>
      </c>
      <c r="C214" s="3067"/>
      <c r="D214" s="3067"/>
      <c r="E214" s="3067"/>
      <c r="F214" s="3067"/>
      <c r="G214" s="3067"/>
      <c r="I214" s="3050"/>
      <c r="J214" s="3050"/>
      <c r="K214" s="3050"/>
      <c r="L214" s="1711"/>
      <c r="N214" s="3053"/>
      <c r="O214" s="3053"/>
      <c r="P214" s="3053"/>
      <c r="Q214" s="3053"/>
      <c r="R214" s="3053"/>
      <c r="T214" s="3227"/>
      <c r="U214" s="3227"/>
      <c r="V214" s="3227"/>
      <c r="W214" s="3227"/>
      <c r="X214" s="3227"/>
      <c r="Y214" s="3227"/>
      <c r="Z214" s="1400"/>
      <c r="AA214" s="1400"/>
      <c r="AB214" s="3049">
        <f t="shared" si="0"/>
        <v>0</v>
      </c>
      <c r="AC214" s="3049"/>
      <c r="AD214" s="3049"/>
      <c r="AE214" s="3049"/>
      <c r="AF214" s="3049"/>
      <c r="AG214" s="3049"/>
      <c r="AH214" s="1367"/>
      <c r="AI214" s="1367"/>
      <c r="AJ214" s="1367"/>
      <c r="AK214" s="1020"/>
    </row>
    <row r="215" spans="1:37">
      <c r="A215" s="1012"/>
      <c r="B215" s="3067" t="s">
        <v>1380</v>
      </c>
      <c r="C215" s="3067"/>
      <c r="D215" s="3067"/>
      <c r="E215" s="3067"/>
      <c r="F215" s="3067"/>
      <c r="G215" s="3067"/>
      <c r="I215" s="3050"/>
      <c r="J215" s="3050"/>
      <c r="K215" s="3050"/>
      <c r="L215" s="1711"/>
      <c r="N215" s="3053"/>
      <c r="O215" s="3053"/>
      <c r="P215" s="3053"/>
      <c r="Q215" s="3053"/>
      <c r="R215" s="3053"/>
      <c r="T215" s="3227"/>
      <c r="U215" s="3227"/>
      <c r="V215" s="3227"/>
      <c r="W215" s="3227"/>
      <c r="X215" s="3227"/>
      <c r="Y215" s="3227"/>
      <c r="Z215" s="1400"/>
      <c r="AA215" s="1400"/>
      <c r="AB215" s="3049">
        <f t="shared" si="0"/>
        <v>0</v>
      </c>
      <c r="AC215" s="3049"/>
      <c r="AD215" s="3049"/>
      <c r="AE215" s="3049"/>
      <c r="AF215" s="3049"/>
      <c r="AG215" s="3049"/>
      <c r="AH215" s="1367"/>
      <c r="AI215" s="1367"/>
      <c r="AJ215" s="1367"/>
      <c r="AK215" s="1020"/>
    </row>
    <row r="216" spans="1:37">
      <c r="A216" s="1012"/>
      <c r="B216" s="3067" t="s">
        <v>1380</v>
      </c>
      <c r="C216" s="3067"/>
      <c r="D216" s="3067"/>
      <c r="E216" s="3067"/>
      <c r="F216" s="3067"/>
      <c r="G216" s="3067"/>
      <c r="I216" s="3051"/>
      <c r="J216" s="3051"/>
      <c r="K216" s="3051"/>
      <c r="L216" s="1711"/>
      <c r="N216" s="3053"/>
      <c r="O216" s="3053"/>
      <c r="P216" s="3053"/>
      <c r="Q216" s="3053"/>
      <c r="R216" s="3053"/>
      <c r="T216" s="3227"/>
      <c r="U216" s="3227"/>
      <c r="V216" s="3227"/>
      <c r="W216" s="3227"/>
      <c r="X216" s="3227"/>
      <c r="Y216" s="3227"/>
      <c r="Z216" s="1400"/>
      <c r="AA216" s="1400"/>
      <c r="AB216" s="3237">
        <f t="shared" si="0"/>
        <v>0</v>
      </c>
      <c r="AC216" s="3237"/>
      <c r="AD216" s="3237"/>
      <c r="AE216" s="3237"/>
      <c r="AF216" s="3237"/>
      <c r="AG216" s="3237"/>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49">
        <f>SUM(AB207:AB216)</f>
        <v>0</v>
      </c>
      <c r="AC217" s="3049"/>
      <c r="AD217" s="3049"/>
      <c r="AE217" s="3049"/>
      <c r="AF217" s="3049"/>
      <c r="AG217" s="3049"/>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0"/>
      <c r="AC223" s="3230"/>
      <c r="AD223" s="3230"/>
      <c r="AE223" s="3230"/>
      <c r="AF223" s="3230"/>
      <c r="AG223" s="3230"/>
      <c r="AH223" s="1020"/>
      <c r="AI223" s="1020"/>
      <c r="AJ223" s="1020"/>
      <c r="AK223" s="1020"/>
    </row>
    <row r="224" spans="1:37" ht="13.1">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0"/>
      <c r="AC226" s="3230"/>
      <c r="AD226" s="3230"/>
      <c r="AE226" s="3230"/>
      <c r="AF226" s="3230"/>
      <c r="AG226" s="3230"/>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1"/>
      <c r="AC227" s="3261"/>
      <c r="AD227" s="3261"/>
      <c r="AE227" s="3261"/>
      <c r="AF227" s="3261"/>
      <c r="AG227" s="3261"/>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38">
        <f>IFERROR(AB226/AB227,0)</f>
        <v>0</v>
      </c>
      <c r="AC228" s="3238"/>
      <c r="AD228" s="3238"/>
      <c r="AE228" s="3238"/>
      <c r="AF228" s="3238"/>
      <c r="AG228" s="3238"/>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25">
        <f>MAX(AB223,AB228)</f>
        <v>0</v>
      </c>
      <c r="AC230" s="3225"/>
      <c r="AD230" s="3225"/>
      <c r="AE230" s="3225"/>
      <c r="AF230" s="3225"/>
      <c r="AG230" s="3225"/>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1">
        <f>AB217+AB230</f>
        <v>0</v>
      </c>
      <c r="AC233" s="3061"/>
      <c r="AD233" s="3061"/>
      <c r="AE233" s="3061"/>
      <c r="AF233" s="3061"/>
      <c r="AG233" s="3061"/>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4">
        <v>0.05</v>
      </c>
      <c r="AC234" s="3094"/>
      <c r="AD234" s="3094"/>
      <c r="AE234" s="3094"/>
      <c r="AF234" s="3094"/>
      <c r="AG234" s="3094"/>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095">
        <f>AB233-(AB233*AB234)</f>
        <v>0</v>
      </c>
      <c r="AC235" s="3095"/>
      <c r="AD235" s="3095"/>
      <c r="AE235" s="3095"/>
      <c r="AF235" s="3095"/>
      <c r="AG235" s="3095"/>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1">
        <f>AB235/AB241</f>
        <v>0</v>
      </c>
      <c r="AC237" s="3061"/>
      <c r="AD237" s="3061"/>
      <c r="AE237" s="3061"/>
      <c r="AF237" s="3061"/>
      <c r="AG237" s="3061"/>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2">
        <v>15</v>
      </c>
      <c r="AC239" s="3062"/>
      <c r="AD239" s="3062"/>
      <c r="AE239" s="3062"/>
      <c r="AF239" s="3062"/>
      <c r="AG239" s="3062"/>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096">
        <v>0.04</v>
      </c>
      <c r="AC240" s="3096"/>
      <c r="AD240" s="3096"/>
      <c r="AE240" s="3096"/>
      <c r="AF240" s="3096"/>
      <c r="AG240" s="3096"/>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097">
        <v>1.1499999999999999</v>
      </c>
      <c r="AC241" s="3097"/>
      <c r="AD241" s="3097"/>
      <c r="AE241" s="3097"/>
      <c r="AF241" s="3097"/>
      <c r="AG241" s="309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87">
        <f>PV(AB240/12,AB239*12,-AB237/12, ,0)</f>
        <v>0</v>
      </c>
      <c r="AC243" s="3088"/>
      <c r="AD243" s="3088"/>
      <c r="AE243" s="3088"/>
      <c r="AF243" s="3088"/>
      <c r="AG243" s="3089"/>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1">
        <f>IFERROR(('Sources and Uses Budget'!D105/'Sources and Uses Budget'!B105),0)</f>
        <v>0</v>
      </c>
      <c r="AC249" s="3092"/>
      <c r="AD249" s="3092"/>
      <c r="AE249" s="3092"/>
      <c r="AF249" s="3092"/>
      <c r="AG249" s="3093"/>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1">
        <f>AD194*(1-AB249)</f>
        <v>6000000</v>
      </c>
      <c r="AH251" s="3081"/>
      <c r="AI251" s="3081"/>
      <c r="AJ251" s="3081"/>
      <c r="AK251" s="3081"/>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1">
        <f>'Sources and Uses Budget'!C105</f>
        <v>110595624</v>
      </c>
      <c r="AH252" s="3081"/>
      <c r="AI252" s="3081"/>
      <c r="AJ252" s="3081"/>
      <c r="AK252" s="3081"/>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2">
        <f>ROUNDDOWN(IF(AND(C274="Yes",AK72=10),((AG251*2)/AG252),AG251/AG252),2)</f>
        <v>0.1</v>
      </c>
      <c r="AH253" s="3082"/>
      <c r="AI253" s="3082"/>
      <c r="AJ253" s="3082"/>
      <c r="AK253" s="3082"/>
    </row>
    <row r="254" spans="1:39" ht="13.1">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083">
        <f>IF(AG253=0,0,IF((AG253*100)&gt;8,8,(AG253*100)))</f>
        <v>8</v>
      </c>
      <c r="AL256" s="3083"/>
      <c r="AM256" s="3084"/>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75" t="s">
        <v>578</v>
      </c>
      <c r="D261" s="3075"/>
      <c r="E261" s="936"/>
      <c r="F261" s="3246" t="s">
        <v>2328</v>
      </c>
      <c r="G261" s="3247"/>
      <c r="H261" s="3247"/>
      <c r="I261" s="3247"/>
      <c r="J261" s="3247"/>
      <c r="K261" s="3247"/>
      <c r="L261" s="3247"/>
      <c r="M261" s="3247"/>
      <c r="N261" s="3247"/>
      <c r="O261" s="3247"/>
      <c r="P261" s="3247"/>
      <c r="Q261" s="3247"/>
      <c r="R261" s="3247"/>
      <c r="S261" s="3247"/>
      <c r="T261" s="3247"/>
      <c r="U261" s="3247"/>
      <c r="V261" s="3247"/>
      <c r="W261" s="3247"/>
      <c r="X261" s="3247"/>
      <c r="Y261" s="3247"/>
      <c r="Z261" s="3247"/>
      <c r="AA261" s="3247"/>
      <c r="AB261" s="3247"/>
      <c r="AC261" s="3247"/>
      <c r="AD261" s="3248"/>
      <c r="AE261" s="939"/>
      <c r="AF261" s="1062"/>
      <c r="AG261" s="3076" t="s">
        <v>1625</v>
      </c>
      <c r="AH261" s="3076"/>
      <c r="AI261" s="3076"/>
      <c r="AJ261" s="3076"/>
      <c r="AK261" s="1022"/>
      <c r="AL261" s="1022"/>
      <c r="AM261" s="1022"/>
      <c r="AN261" s="1057"/>
      <c r="AO261" s="939"/>
      <c r="AS261" s="21"/>
      <c r="AT261" s="21"/>
    </row>
    <row r="262" spans="1:81" ht="13.75" customHeight="1">
      <c r="A262" s="1056"/>
      <c r="B262" s="1061"/>
      <c r="C262" s="1063"/>
      <c r="D262" s="939"/>
      <c r="E262" s="936"/>
      <c r="F262" s="3249"/>
      <c r="G262" s="3250"/>
      <c r="H262" s="3250"/>
      <c r="I262" s="3250"/>
      <c r="J262" s="3250"/>
      <c r="K262" s="3250"/>
      <c r="L262" s="3250"/>
      <c r="M262" s="3250"/>
      <c r="N262" s="3250"/>
      <c r="O262" s="3250"/>
      <c r="P262" s="3250"/>
      <c r="Q262" s="3250"/>
      <c r="R262" s="3250"/>
      <c r="S262" s="3250"/>
      <c r="T262" s="3250"/>
      <c r="U262" s="3250"/>
      <c r="V262" s="3250"/>
      <c r="W262" s="3250"/>
      <c r="X262" s="3250"/>
      <c r="Y262" s="3250"/>
      <c r="Z262" s="3250"/>
      <c r="AA262" s="3250"/>
      <c r="AB262" s="3250"/>
      <c r="AC262" s="3250"/>
      <c r="AD262" s="3251"/>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49"/>
      <c r="G263" s="3250"/>
      <c r="H263" s="3250"/>
      <c r="I263" s="3250"/>
      <c r="J263" s="3250"/>
      <c r="K263" s="3250"/>
      <c r="L263" s="3250"/>
      <c r="M263" s="3250"/>
      <c r="N263" s="3250"/>
      <c r="O263" s="3250"/>
      <c r="P263" s="3250"/>
      <c r="Q263" s="3250"/>
      <c r="R263" s="3250"/>
      <c r="S263" s="3250"/>
      <c r="T263" s="3250"/>
      <c r="U263" s="3250"/>
      <c r="V263" s="3250"/>
      <c r="W263" s="3250"/>
      <c r="X263" s="3250"/>
      <c r="Y263" s="3250"/>
      <c r="Z263" s="3250"/>
      <c r="AA263" s="3250"/>
      <c r="AB263" s="3250"/>
      <c r="AC263" s="3250"/>
      <c r="AD263" s="3251"/>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077"/>
      <c r="D264" s="3077"/>
      <c r="E264" s="936"/>
      <c r="F264" s="3252"/>
      <c r="G264" s="3253"/>
      <c r="H264" s="3253"/>
      <c r="I264" s="3253"/>
      <c r="J264" s="3253"/>
      <c r="K264" s="3253"/>
      <c r="L264" s="3253"/>
      <c r="M264" s="3253"/>
      <c r="N264" s="3253"/>
      <c r="O264" s="3253"/>
      <c r="P264" s="3253"/>
      <c r="Q264" s="3253"/>
      <c r="R264" s="3253"/>
      <c r="S264" s="3253"/>
      <c r="T264" s="3253"/>
      <c r="U264" s="3253"/>
      <c r="V264" s="3253"/>
      <c r="W264" s="3253"/>
      <c r="X264" s="3253"/>
      <c r="Y264" s="3253"/>
      <c r="Z264" s="3253"/>
      <c r="AA264" s="3253"/>
      <c r="AB264" s="3253"/>
      <c r="AC264" s="3253"/>
      <c r="AD264" s="3254"/>
      <c r="AE264" s="939"/>
      <c r="AF264" s="1062"/>
      <c r="AG264" s="3076"/>
      <c r="AH264" s="3076"/>
      <c r="AI264" s="3076"/>
      <c r="AJ264" s="3076"/>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083">
        <f>IF($C$261="yes",10,0)</f>
        <v>10</v>
      </c>
      <c r="AL267" s="3083"/>
      <c r="AM267" s="3084"/>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1642</v>
      </c>
      <c r="B270" s="984" t="s">
        <v>2295</v>
      </c>
      <c r="AH270" s="1030" t="s">
        <v>1555</v>
      </c>
    </row>
    <row r="271" spans="1:81" ht="15" customHeight="1">
      <c r="B271" s="928" t="s">
        <v>2294</v>
      </c>
    </row>
    <row r="272" spans="1:81" ht="15" customHeight="1">
      <c r="B272" s="928" t="s">
        <v>2296</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4" t="s">
        <v>1644</v>
      </c>
      <c r="B274" s="3104"/>
      <c r="C274" s="3075" t="s">
        <v>578</v>
      </c>
      <c r="D274" s="3075"/>
      <c r="E274" s="936"/>
      <c r="F274" s="3105" t="s">
        <v>1645</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098" t="s">
        <v>1647</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098" t="s">
        <v>1648</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098" t="s">
        <v>1649</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4" t="s">
        <v>1650</v>
      </c>
      <c r="B284" s="3104"/>
      <c r="C284" s="3075" t="s">
        <v>626</v>
      </c>
      <c r="D284" s="3075"/>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098" t="s">
        <v>1653</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40"/>
      <c r="AF285" s="940"/>
      <c r="AG285" s="940"/>
      <c r="AH285" s="940"/>
      <c r="AI285" s="940"/>
      <c r="AJ285" s="939"/>
      <c r="AK285" s="1022"/>
      <c r="AL285" s="1022"/>
      <c r="AM285" s="1022"/>
      <c r="AR285" s="1082"/>
    </row>
    <row r="286" spans="1:53" ht="15" customHeight="1">
      <c r="A286" s="1056"/>
      <c r="B286" s="940"/>
      <c r="C286" s="939"/>
      <c r="D286" s="940"/>
      <c r="E286" s="939"/>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40"/>
      <c r="AF286" s="940"/>
      <c r="AG286" s="940"/>
      <c r="AH286" s="940"/>
      <c r="AI286" s="940"/>
      <c r="AJ286" s="939"/>
      <c r="AK286" s="1022"/>
      <c r="AL286" s="1022"/>
      <c r="AM286" s="1022"/>
      <c r="AR286" s="1082"/>
    </row>
    <row r="287" spans="1:53">
      <c r="A287" s="1056"/>
      <c r="B287" s="940"/>
      <c r="C287" s="939"/>
      <c r="D287" s="940"/>
      <c r="E287" s="939"/>
      <c r="F287" s="3098" t="s">
        <v>1648</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40"/>
      <c r="AF288" s="940"/>
      <c r="AG288" s="940"/>
      <c r="AH288" s="940"/>
      <c r="AI288" s="940"/>
      <c r="AJ288" s="939"/>
      <c r="AK288" s="1022"/>
      <c r="AL288" s="1022"/>
      <c r="AM288" s="1022"/>
      <c r="AP288" s="1075"/>
      <c r="AQ288" s="964"/>
      <c r="AR288" s="1082"/>
    </row>
    <row r="289" spans="1:60">
      <c r="A289" s="1056"/>
      <c r="B289" s="940"/>
      <c r="C289" s="939"/>
      <c r="D289" s="940"/>
      <c r="E289" s="939"/>
      <c r="F289" s="3098" t="s">
        <v>1654</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40"/>
      <c r="AF289" s="940"/>
      <c r="AG289" s="940"/>
      <c r="AH289" s="940"/>
      <c r="AI289" s="940"/>
      <c r="AJ289" s="939"/>
      <c r="AK289" s="1022"/>
      <c r="AL289" s="1022"/>
      <c r="AM289" s="1022"/>
      <c r="AP289" s="1075"/>
      <c r="AQ289" s="964"/>
      <c r="AR289" s="1082"/>
    </row>
    <row r="290" spans="1:60">
      <c r="A290" s="1056"/>
      <c r="B290" s="940"/>
      <c r="C290" s="939"/>
      <c r="D290" s="940"/>
      <c r="E290" s="939"/>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04" t="s">
        <v>1655</v>
      </c>
      <c r="B292" s="3104"/>
      <c r="C292" s="3075" t="s">
        <v>626</v>
      </c>
      <c r="D292" s="3075"/>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1">
      <c r="A293" s="1696"/>
      <c r="B293" s="1696"/>
      <c r="C293" s="1692"/>
      <c r="D293" s="1692"/>
      <c r="E293" s="936"/>
      <c r="F293" s="3098" t="s">
        <v>1656</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40"/>
      <c r="AF293" s="940"/>
      <c r="AG293" s="1008"/>
      <c r="AH293" s="940"/>
      <c r="AI293" s="940"/>
      <c r="AJ293" s="939"/>
      <c r="AK293" s="1022"/>
      <c r="AL293" s="1022"/>
      <c r="AM293" s="1022"/>
      <c r="AN293" s="110"/>
      <c r="AO293" s="51"/>
      <c r="AP293" s="946" t="s">
        <v>1380</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40"/>
      <c r="AF294" s="940"/>
      <c r="AH294" s="940"/>
      <c r="AI294" s="940"/>
      <c r="AJ294" s="1085"/>
      <c r="AK294" s="1056"/>
      <c r="AL294" s="1056"/>
      <c r="AM294" s="1056"/>
      <c r="AN294" s="1086"/>
      <c r="AP294" s="1087" t="s">
        <v>2157</v>
      </c>
      <c r="BD294" s="1088"/>
      <c r="BE294" s="1088"/>
      <c r="BF294" s="1088"/>
      <c r="BG294" s="1088"/>
      <c r="BH294" s="1088"/>
    </row>
    <row r="295" spans="1:60" ht="13.1">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08" t="s">
        <v>1380</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14" t="s">
        <v>1380</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40"/>
      <c r="AF306" s="940"/>
      <c r="AG306" s="982"/>
      <c r="AH306" s="940"/>
      <c r="AI306" s="940"/>
      <c r="AJ306" s="939"/>
      <c r="AK306" s="1022"/>
      <c r="AL306" s="1022"/>
      <c r="AM306" s="1022"/>
      <c r="AN306" s="110"/>
      <c r="AO306" s="51"/>
      <c r="AP306" s="946" t="s">
        <v>1940</v>
      </c>
      <c r="AR306" s="21"/>
    </row>
    <row r="307" spans="1:60" ht="13.1">
      <c r="A307" s="1056"/>
      <c r="B307" s="940"/>
      <c r="C307" s="1692"/>
      <c r="D307" s="1692"/>
      <c r="E307" s="936"/>
      <c r="F307" s="1094"/>
      <c r="G307" s="965"/>
      <c r="H307" s="965"/>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40"/>
      <c r="AF307" s="940"/>
      <c r="AG307" s="982"/>
      <c r="AH307" s="940"/>
      <c r="AI307" s="940"/>
      <c r="AJ307" s="939"/>
      <c r="AK307" s="1022"/>
      <c r="AL307" s="1022"/>
      <c r="AM307" s="1022"/>
      <c r="AN307" s="110"/>
      <c r="AO307" s="51"/>
      <c r="AP307" s="946" t="s">
        <v>2160</v>
      </c>
      <c r="AR307" s="21"/>
    </row>
    <row r="308" spans="1:60" ht="13.1">
      <c r="A308" s="1056"/>
      <c r="B308" s="940"/>
      <c r="C308" s="1089"/>
      <c r="D308" s="1089"/>
      <c r="E308" s="936"/>
      <c r="F308" s="1094"/>
      <c r="G308" s="965"/>
      <c r="H308" s="965"/>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40"/>
      <c r="AF308" s="940"/>
      <c r="AG308" s="982"/>
      <c r="AH308" s="940"/>
      <c r="AI308" s="940"/>
      <c r="AJ308" s="939"/>
      <c r="AK308" s="1022"/>
      <c r="AL308" s="1022"/>
      <c r="AM308" s="1022"/>
      <c r="AN308" s="110"/>
      <c r="AO308" s="51"/>
      <c r="AP308" s="946" t="s">
        <v>2162</v>
      </c>
      <c r="AR308" s="21"/>
    </row>
    <row r="309" spans="1:60" ht="13.1">
      <c r="A309" s="1056"/>
      <c r="B309" s="940"/>
      <c r="C309" s="1089"/>
      <c r="D309" s="1089"/>
      <c r="E309" s="936"/>
      <c r="F309" s="1092"/>
      <c r="G309" s="940"/>
      <c r="H309" s="940"/>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40"/>
      <c r="AF309" s="940"/>
      <c r="AG309" s="982"/>
      <c r="AH309" s="940"/>
      <c r="AI309" s="940"/>
      <c r="AJ309" s="939"/>
      <c r="AK309" s="1022"/>
      <c r="AL309" s="1022"/>
      <c r="AM309" s="1022"/>
      <c r="AN309" s="110"/>
      <c r="AO309" s="51"/>
      <c r="AP309" s="946" t="s">
        <v>2161</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542</v>
      </c>
      <c r="H311" s="940"/>
      <c r="I311" s="3114" t="s">
        <v>1380</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40"/>
      <c r="AF312" s="940"/>
      <c r="AG312" s="982"/>
      <c r="AH312" s="940"/>
      <c r="AI312" s="940"/>
      <c r="AJ312" s="939"/>
      <c r="AK312" s="1022"/>
      <c r="AL312" s="1022"/>
      <c r="AM312" s="1022"/>
      <c r="AN312" s="110"/>
      <c r="AO312" s="51"/>
      <c r="AP312" s="946" t="s">
        <v>1380</v>
      </c>
      <c r="AR312" s="21"/>
    </row>
    <row r="313" spans="1:60" ht="13.1">
      <c r="A313" s="1056"/>
      <c r="B313" s="940"/>
      <c r="C313" s="1089"/>
      <c r="D313" s="1089"/>
      <c r="E313" s="936"/>
      <c r="F313" s="1095"/>
      <c r="G313" s="1096"/>
      <c r="H313" s="1096"/>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04" t="s">
        <v>1659</v>
      </c>
      <c r="B315" s="3104"/>
      <c r="C315" s="3075" t="s">
        <v>626</v>
      </c>
      <c r="D315" s="3075"/>
      <c r="E315" s="936"/>
      <c r="F315" s="3007" t="s">
        <v>1660</v>
      </c>
      <c r="G315" s="3008"/>
      <c r="H315" s="3008"/>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3008"/>
      <c r="AD315" s="3009"/>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13"/>
      <c r="G316" s="3014"/>
      <c r="H316" s="3014"/>
      <c r="I316" s="3014"/>
      <c r="J316" s="3014"/>
      <c r="K316" s="3014"/>
      <c r="L316" s="3014"/>
      <c r="M316" s="3014"/>
      <c r="N316" s="3014"/>
      <c r="O316" s="3014"/>
      <c r="P316" s="3014"/>
      <c r="Q316" s="3014"/>
      <c r="R316" s="3014"/>
      <c r="S316" s="3014"/>
      <c r="T316" s="3014"/>
      <c r="U316" s="3014"/>
      <c r="V316" s="3014"/>
      <c r="W316" s="3014"/>
      <c r="X316" s="3014"/>
      <c r="Y316" s="3014"/>
      <c r="Z316" s="3014"/>
      <c r="AA316" s="3014"/>
      <c r="AB316" s="3014"/>
      <c r="AC316" s="3014"/>
      <c r="AD316" s="3015"/>
      <c r="AE316" s="940"/>
      <c r="AF316" s="940"/>
      <c r="AG316" s="940"/>
      <c r="AH316" s="940"/>
      <c r="AI316" s="940"/>
      <c r="AJ316" s="939"/>
      <c r="AK316" s="1022"/>
      <c r="AL316" s="1022"/>
      <c r="AM316" s="1022"/>
      <c r="AN316" s="110"/>
      <c r="AO316" s="51"/>
    </row>
    <row r="317" spans="1:60" ht="15" customHeight="1">
      <c r="A317" s="1056"/>
      <c r="B317" s="940"/>
      <c r="C317" s="940"/>
      <c r="D317" s="940"/>
      <c r="E317" s="940"/>
      <c r="F317" s="3013"/>
      <c r="G317" s="3014"/>
      <c r="H317" s="3014"/>
      <c r="I317" s="3014"/>
      <c r="J317" s="3014"/>
      <c r="K317" s="3014"/>
      <c r="L317" s="3014"/>
      <c r="M317" s="3014"/>
      <c r="N317" s="3014"/>
      <c r="O317" s="3014"/>
      <c r="P317" s="3014"/>
      <c r="Q317" s="3014"/>
      <c r="R317" s="3014"/>
      <c r="S317" s="3014"/>
      <c r="T317" s="3014"/>
      <c r="U317" s="3014"/>
      <c r="V317" s="3014"/>
      <c r="W317" s="3014"/>
      <c r="X317" s="3014"/>
      <c r="Y317" s="3014"/>
      <c r="Z317" s="3014"/>
      <c r="AA317" s="3014"/>
      <c r="AB317" s="3014"/>
      <c r="AC317" s="3014"/>
      <c r="AD317" s="3015"/>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78">
        <f>AP279</f>
        <v>20</v>
      </c>
      <c r="AL320" s="3079"/>
      <c r="AM320" s="3080"/>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68" t="s">
        <v>1576</v>
      </c>
      <c r="AF323" s="3068"/>
      <c r="AG323" s="3068"/>
      <c r="AH323" s="3068"/>
      <c r="AI323" s="3068"/>
      <c r="AJ323" s="3068"/>
      <c r="AK323" s="3068"/>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99" t="s">
        <v>2120</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74"/>
      <c r="AL325" s="963"/>
      <c r="AM325" s="1023"/>
      <c r="AN325" s="996"/>
    </row>
    <row r="326" spans="1:42" s="939" customFormat="1" ht="12.75" customHeight="1">
      <c r="A326" s="1023"/>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74"/>
      <c r="AL326" s="963"/>
      <c r="AM326" s="1023"/>
      <c r="AN326" s="996"/>
    </row>
    <row r="327" spans="1:42" s="939" customFormat="1" ht="12.75" customHeight="1">
      <c r="A327" s="1023"/>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74"/>
      <c r="AL327" s="963"/>
      <c r="AM327" s="1023"/>
      <c r="AN327" s="996"/>
    </row>
    <row r="328" spans="1:42" s="939" customFormat="1" ht="12.75" customHeight="1">
      <c r="A328" s="1023"/>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74"/>
      <c r="AL328" s="963"/>
      <c r="AM328" s="1023"/>
      <c r="AN328" s="996"/>
    </row>
    <row r="329" spans="1:42" s="939" customFormat="1" ht="12.75" customHeight="1">
      <c r="A329" s="1023"/>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74"/>
      <c r="AL329" s="963"/>
      <c r="AM329" s="1023"/>
      <c r="AN329" s="996"/>
    </row>
    <row r="330" spans="1:42" s="939" customFormat="1" ht="12.75" customHeight="1">
      <c r="A330" s="1023"/>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74"/>
      <c r="AL330" s="963"/>
      <c r="AM330" s="1023"/>
      <c r="AN330" s="996"/>
    </row>
    <row r="331" spans="1:42" s="939" customFormat="1" ht="12.75" customHeight="1">
      <c r="A331" s="1023"/>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74"/>
      <c r="AL331" s="963"/>
      <c r="AM331" s="1023"/>
      <c r="AN331" s="996"/>
    </row>
    <row r="332" spans="1:42" ht="12.75" customHeight="1">
      <c r="A332" s="1023"/>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74"/>
      <c r="AL332" s="963"/>
      <c r="AM332" s="1023"/>
    </row>
    <row r="333" spans="1:42" s="939" customFormat="1" ht="12.75" customHeight="1">
      <c r="A333" s="1056"/>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4" t="s">
        <v>1600</v>
      </c>
      <c r="AG339" s="3054"/>
      <c r="AH339" s="3054"/>
      <c r="AI339" s="3054"/>
      <c r="AJ339" s="3054"/>
      <c r="AK339" s="3054"/>
      <c r="AL339" s="3054"/>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4" t="s">
        <v>1666</v>
      </c>
      <c r="AG346" s="3054"/>
      <c r="AH346" s="3054"/>
      <c r="AI346" s="3054"/>
      <c r="AJ346" s="3054"/>
      <c r="AK346" s="3054"/>
      <c r="AL346" s="3054"/>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4" t="s">
        <v>1640</v>
      </c>
      <c r="AG352" s="3054"/>
      <c r="AH352" s="3054"/>
      <c r="AI352" s="3054"/>
      <c r="AJ352" s="3054"/>
      <c r="AK352" s="3054"/>
      <c r="AL352" s="3054"/>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4" t="s">
        <v>1669</v>
      </c>
      <c r="AG358" s="3054"/>
      <c r="AH358" s="3054"/>
      <c r="AI358" s="3054"/>
      <c r="AJ358" s="3054"/>
      <c r="AK358" s="3054"/>
      <c r="AL358" s="3054"/>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21" t="s">
        <v>1380</v>
      </c>
      <c r="P362" s="3121"/>
      <c r="Q362" s="3121"/>
      <c r="R362" s="3121"/>
      <c r="S362" s="3121"/>
      <c r="T362" s="3121"/>
      <c r="U362" s="3121"/>
      <c r="V362" s="3121"/>
      <c r="W362" s="3121"/>
      <c r="X362" s="3121"/>
      <c r="Y362" s="3121"/>
      <c r="Z362" s="3121"/>
      <c r="AA362" s="3121"/>
      <c r="AB362" s="3121"/>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4" t="s">
        <v>1614</v>
      </c>
      <c r="AG364" s="3054"/>
      <c r="AH364" s="3054"/>
      <c r="AI364" s="3054"/>
      <c r="AJ364" s="3054"/>
      <c r="AK364" s="3054"/>
      <c r="AL364" s="3054"/>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18" t="s">
        <v>626</v>
      </c>
      <c r="I367" s="3118"/>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20" t="s">
        <v>626</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072" t="s">
        <v>626</v>
      </c>
      <c r="C377" s="3072"/>
      <c r="D377" s="1548"/>
      <c r="E377" s="3099" t="s">
        <v>1673</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548"/>
      <c r="AI377" s="1548"/>
      <c r="AJ377" s="1548"/>
      <c r="AK377" s="1548"/>
      <c r="AL377" s="1548"/>
      <c r="AN377" s="996"/>
    </row>
    <row r="378" spans="1:46" s="939" customFormat="1" ht="12.75" customHeight="1">
      <c r="A378" s="1056"/>
      <c r="B378" s="1019"/>
      <c r="C378" s="1543"/>
      <c r="D378" s="1548"/>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548"/>
      <c r="AI378" s="1548"/>
      <c r="AJ378" s="1548"/>
      <c r="AK378" s="1548"/>
      <c r="AL378" s="1548"/>
      <c r="AN378" s="996"/>
    </row>
    <row r="379" spans="1:46" s="939" customFormat="1" ht="12.75" customHeight="1">
      <c r="A379" s="1056"/>
      <c r="B379" s="1019"/>
      <c r="C379" s="1543"/>
      <c r="D379" s="1548"/>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548"/>
      <c r="AI379" s="1548"/>
      <c r="AJ379" s="1548"/>
      <c r="AK379" s="1548"/>
      <c r="AL379" s="1548"/>
      <c r="AN379" s="996"/>
    </row>
    <row r="380" spans="1:46" s="939" customFormat="1" ht="12.75" customHeight="1">
      <c r="A380" s="1056"/>
      <c r="B380" s="1019"/>
      <c r="C380" s="1543"/>
      <c r="D380" s="1550"/>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78">
        <f>VLOOKUP($H$367,$AO$347:$AP$352,2,FALSE)+VLOOKUP($I$375,$AO$374:$AP$376,2,FALSE)</f>
        <v>0</v>
      </c>
      <c r="AK382" s="3080"/>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19" t="s">
        <v>2121</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28"/>
      <c r="AF386" s="3054" t="s">
        <v>1614</v>
      </c>
      <c r="AG386" s="3054"/>
      <c r="AH386" s="3054"/>
      <c r="AI386" s="3054"/>
      <c r="AJ386" s="3054"/>
      <c r="AK386" s="3054"/>
      <c r="AL386" s="3054"/>
      <c r="AM386" s="1022"/>
      <c r="AN386" s="1121"/>
    </row>
    <row r="387" spans="1:42" s="939" customFormat="1" ht="12.75" customHeight="1">
      <c r="A387" s="1122"/>
      <c r="B387" s="1019"/>
      <c r="C387" s="1543"/>
      <c r="D387" s="1102"/>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2"/>
      <c r="AF387" s="1002"/>
      <c r="AG387" s="1002"/>
      <c r="AH387" s="1002"/>
      <c r="AI387" s="1002"/>
      <c r="AJ387" s="1002"/>
      <c r="AK387" s="1002"/>
      <c r="AL387" s="1002"/>
      <c r="AM387" s="1022"/>
      <c r="AN387" s="996"/>
    </row>
    <row r="388" spans="1:42" s="939" customFormat="1" ht="12.75" customHeight="1">
      <c r="A388" s="1056"/>
      <c r="B388" s="1019"/>
      <c r="C388" s="1544"/>
      <c r="D388" s="1102"/>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2"/>
      <c r="AF388" s="1002"/>
      <c r="AG388" s="1002"/>
      <c r="AH388" s="1002"/>
      <c r="AI388" s="1002"/>
      <c r="AJ388" s="1002"/>
      <c r="AK388" s="1002"/>
      <c r="AL388" s="1002"/>
      <c r="AM388" s="1022"/>
      <c r="AN388" s="996"/>
    </row>
    <row r="389" spans="1:42" s="939" customFormat="1" ht="12.75" customHeight="1">
      <c r="A389" s="1056"/>
      <c r="B389" s="1019"/>
      <c r="C389" s="1544"/>
      <c r="D389" s="1102"/>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2"/>
      <c r="AF389" s="1002"/>
      <c r="AG389" s="1002"/>
      <c r="AH389" s="1002"/>
      <c r="AI389" s="1002"/>
      <c r="AJ389" s="1002"/>
      <c r="AK389" s="1002"/>
      <c r="AL389" s="1002"/>
      <c r="AM389" s="1022"/>
      <c r="AN389" s="996"/>
    </row>
    <row r="390" spans="1:42" s="939" customFormat="1" ht="12.75" customHeight="1">
      <c r="A390" s="1056"/>
      <c r="B390" s="1019"/>
      <c r="C390" s="1544"/>
      <c r="D390" s="1102"/>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2"/>
      <c r="AF390" s="1002"/>
      <c r="AG390" s="1002"/>
      <c r="AH390" s="1002"/>
      <c r="AI390" s="1002"/>
      <c r="AJ390" s="1002"/>
      <c r="AK390" s="1002"/>
      <c r="AL390" s="1002"/>
      <c r="AM390" s="1022"/>
      <c r="AN390" s="996"/>
    </row>
    <row r="391" spans="1:42" s="939" customFormat="1" ht="12.75" customHeight="1">
      <c r="A391" s="1056"/>
      <c r="B391" s="1019"/>
      <c r="C391" s="1544"/>
      <c r="D391" s="1102"/>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2"/>
      <c r="AF391" s="1002"/>
      <c r="AG391" s="1002"/>
      <c r="AH391" s="1002"/>
      <c r="AI391" s="1002"/>
      <c r="AJ391" s="1002"/>
      <c r="AK391" s="1002"/>
      <c r="AL391" s="1002"/>
      <c r="AM391" s="1022"/>
      <c r="AN391" s="996"/>
    </row>
    <row r="392" spans="1:42" s="939" customFormat="1" ht="12.75" customHeight="1">
      <c r="A392" s="1115"/>
      <c r="B392" s="1031"/>
      <c r="C392" s="1553"/>
      <c r="D392" s="1102"/>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1"/>
      <c r="AF392" s="1031"/>
      <c r="AG392" s="1031"/>
      <c r="AH392" s="1031"/>
      <c r="AI392" s="1031"/>
      <c r="AJ392" s="1031"/>
      <c r="AK392" s="1002"/>
      <c r="AL392" s="1002"/>
      <c r="AM392" s="1022"/>
      <c r="AN392" s="996"/>
    </row>
    <row r="393" spans="1:42" s="939" customFormat="1" ht="12.75" customHeight="1">
      <c r="A393" s="1056"/>
      <c r="B393" s="1031"/>
      <c r="C393" s="1553"/>
      <c r="D393" s="1102"/>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072" t="s">
        <v>626</v>
      </c>
      <c r="Y395" s="3072"/>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4" t="s">
        <v>1678</v>
      </c>
      <c r="AG397" s="3054"/>
      <c r="AH397" s="3054"/>
      <c r="AI397" s="3054"/>
      <c r="AJ397" s="3054"/>
      <c r="AK397" s="3054"/>
      <c r="AL397" s="3054"/>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18" t="s">
        <v>626</v>
      </c>
      <c r="I399" s="3118"/>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78">
        <f>VLOOKUP($H$399,$AO$366:$AP$368,2,FALSE)</f>
        <v>0</v>
      </c>
      <c r="AK401" s="3080"/>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4" t="s">
        <v>1614</v>
      </c>
      <c r="AG405" s="3054"/>
      <c r="AH405" s="3054"/>
      <c r="AI405" s="3054"/>
      <c r="AJ405" s="3054"/>
      <c r="AK405" s="3054"/>
      <c r="AL405" s="3054"/>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4" t="s">
        <v>1678</v>
      </c>
      <c r="AG408" s="3054"/>
      <c r="AH408" s="3054"/>
      <c r="AI408" s="3054"/>
      <c r="AJ408" s="3054"/>
      <c r="AK408" s="3054"/>
      <c r="AL408" s="3054"/>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18" t="s">
        <v>626</v>
      </c>
      <c r="I411" s="3118"/>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78">
        <f>VLOOKUP(H411,AT366:AU368,2,FALSE)</f>
        <v>0</v>
      </c>
      <c r="AK413" s="3080"/>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99" t="s">
        <v>1690</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3"/>
      <c r="AE418" s="923"/>
      <c r="AF418" s="3054" t="s">
        <v>1640</v>
      </c>
      <c r="AG418" s="3054"/>
      <c r="AH418" s="3054"/>
      <c r="AI418" s="3054"/>
      <c r="AJ418" s="3054"/>
      <c r="AK418" s="3054"/>
      <c r="AL418" s="3054"/>
      <c r="AN418" s="996"/>
    </row>
    <row r="419" spans="1:42" s="939" customFormat="1" ht="12.75" customHeight="1">
      <c r="B419" s="923"/>
      <c r="C419" s="982"/>
      <c r="D419" s="923"/>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3"/>
      <c r="AE419" s="923"/>
      <c r="AF419" s="923"/>
      <c r="AG419" s="923"/>
      <c r="AH419" s="923"/>
      <c r="AI419" s="923"/>
      <c r="AJ419" s="923"/>
      <c r="AK419" s="923"/>
      <c r="AL419" s="923"/>
      <c r="AN419" s="996"/>
    </row>
    <row r="420" spans="1:42" s="939" customFormat="1" ht="12.75" customHeight="1">
      <c r="B420" s="923"/>
      <c r="C420" s="982"/>
      <c r="D420" s="1102"/>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99" t="s">
        <v>1691</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3"/>
      <c r="AE422" s="923"/>
      <c r="AF422" s="3054" t="s">
        <v>1669</v>
      </c>
      <c r="AG422" s="3054"/>
      <c r="AH422" s="3054"/>
      <c r="AI422" s="3054"/>
      <c r="AJ422" s="3054"/>
      <c r="AK422" s="3054"/>
      <c r="AL422" s="3054"/>
      <c r="AN422" s="996"/>
    </row>
    <row r="423" spans="1:42" s="939" customFormat="1" ht="12.75" customHeight="1">
      <c r="B423" s="923"/>
      <c r="C423" s="982"/>
      <c r="D423" s="923"/>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3"/>
      <c r="AE423" s="923"/>
      <c r="AF423" s="923"/>
      <c r="AG423" s="923"/>
      <c r="AH423" s="923"/>
      <c r="AI423" s="923"/>
      <c r="AJ423" s="923"/>
      <c r="AK423" s="923"/>
      <c r="AL423" s="923"/>
      <c r="AN423" s="996"/>
    </row>
    <row r="424" spans="1:42" s="939" customFormat="1" ht="15" customHeight="1">
      <c r="B424" s="923"/>
      <c r="C424" s="982"/>
      <c r="D424" s="1102"/>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99" t="s">
        <v>1692</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3"/>
      <c r="AE426" s="923"/>
      <c r="AF426" s="3054" t="s">
        <v>1614</v>
      </c>
      <c r="AG426" s="3054"/>
      <c r="AH426" s="3054"/>
      <c r="AI426" s="3054"/>
      <c r="AJ426" s="3054"/>
      <c r="AK426" s="3054"/>
      <c r="AL426" s="3054"/>
      <c r="AN426" s="996"/>
    </row>
    <row r="427" spans="1:42" s="939" customFormat="1" ht="12.75" customHeight="1">
      <c r="A427" s="1056"/>
      <c r="B427" s="1019"/>
      <c r="C427" s="1544"/>
      <c r="D427" s="923"/>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3"/>
      <c r="AE427" s="3054"/>
      <c r="AF427" s="3054"/>
      <c r="AG427" s="3054"/>
      <c r="AH427" s="3054"/>
      <c r="AI427" s="3054"/>
      <c r="AJ427" s="3054"/>
      <c r="AK427" s="3054"/>
      <c r="AL427" s="1500"/>
      <c r="AM427" s="1022"/>
      <c r="AN427" s="996"/>
      <c r="AO427" s="939" t="s">
        <v>626</v>
      </c>
      <c r="AP427" s="1116">
        <v>0</v>
      </c>
    </row>
    <row r="428" spans="1:42" s="939" customFormat="1" ht="12.75" customHeight="1">
      <c r="A428" s="1122"/>
      <c r="B428" s="923"/>
      <c r="C428" s="923"/>
      <c r="D428" s="1102"/>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99" t="s">
        <v>1693</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3"/>
      <c r="AE430" s="923"/>
      <c r="AF430" s="3054" t="s">
        <v>1669</v>
      </c>
      <c r="AG430" s="3054"/>
      <c r="AH430" s="3054"/>
      <c r="AI430" s="3054"/>
      <c r="AJ430" s="3054"/>
      <c r="AK430" s="3054"/>
      <c r="AL430" s="3054"/>
      <c r="AN430" s="996"/>
    </row>
    <row r="431" spans="1:42" s="939" customFormat="1" ht="12.75" customHeight="1">
      <c r="A431" s="1111"/>
      <c r="B431" s="1019"/>
      <c r="C431" s="1560"/>
      <c r="D431" s="1102"/>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99" t="s">
        <v>1694</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3"/>
      <c r="AE434" s="923"/>
      <c r="AF434" s="3054" t="s">
        <v>1614</v>
      </c>
      <c r="AG434" s="3054"/>
      <c r="AH434" s="3054"/>
      <c r="AI434" s="3054"/>
      <c r="AJ434" s="3054"/>
      <c r="AK434" s="3054"/>
      <c r="AL434" s="3054"/>
      <c r="AM434" s="1061"/>
      <c r="AN434" s="996"/>
    </row>
    <row r="435" spans="1:42" s="939" customFormat="1" ht="12.75" customHeight="1">
      <c r="A435" s="1056"/>
      <c r="B435" s="1019"/>
      <c r="C435" s="1544"/>
      <c r="D435" s="1102"/>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99" t="s">
        <v>1695</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3"/>
      <c r="AE438" s="923"/>
      <c r="AF438" s="3054" t="s">
        <v>1678</v>
      </c>
      <c r="AG438" s="3054"/>
      <c r="AH438" s="3054"/>
      <c r="AI438" s="3054"/>
      <c r="AJ438" s="3054"/>
      <c r="AK438" s="3054"/>
      <c r="AL438" s="3054"/>
      <c r="AM438" s="1061"/>
      <c r="AN438" s="996"/>
    </row>
    <row r="439" spans="1:42" s="939" customFormat="1" ht="12.75" customHeight="1">
      <c r="A439" s="1503"/>
      <c r="B439" s="1002"/>
      <c r="C439" s="1541"/>
      <c r="D439" s="1102"/>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99" t="s">
        <v>1696</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3"/>
      <c r="AE442" s="923"/>
      <c r="AF442" s="3054" t="s">
        <v>1697</v>
      </c>
      <c r="AG442" s="3054"/>
      <c r="AH442" s="3054"/>
      <c r="AI442" s="3054"/>
      <c r="AJ442" s="3054"/>
      <c r="AK442" s="3054"/>
      <c r="AL442" s="3054"/>
      <c r="AM442" s="1061"/>
      <c r="AN442" s="996"/>
      <c r="AO442" s="1114" t="s">
        <v>725</v>
      </c>
      <c r="AP442" s="939">
        <v>3</v>
      </c>
    </row>
    <row r="443" spans="1:42" s="939" customFormat="1" ht="12.75" customHeight="1">
      <c r="A443" s="1503"/>
      <c r="B443" s="1002"/>
      <c r="C443" s="1541"/>
      <c r="D443" s="1102"/>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18" t="s">
        <v>626</v>
      </c>
      <c r="I446" s="3118"/>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78">
        <f>VLOOKUP($H$446,$AO$394:$AP$401,2,FALSE)</f>
        <v>0</v>
      </c>
      <c r="AK448" s="3080"/>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99" t="s">
        <v>2117</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3"/>
      <c r="AD452" s="923"/>
      <c r="AE452" s="926"/>
      <c r="AF452" s="3054" t="s">
        <v>1614</v>
      </c>
      <c r="AG452" s="3054"/>
      <c r="AH452" s="3054"/>
      <c r="AI452" s="3054"/>
      <c r="AJ452" s="3054"/>
      <c r="AK452" s="3054"/>
      <c r="AL452" s="3054"/>
      <c r="AM452" s="1022"/>
      <c r="AN452" s="997"/>
    </row>
    <row r="453" spans="1:42" s="998" customFormat="1" ht="12.75" customHeight="1">
      <c r="A453" s="1056"/>
      <c r="B453" s="1019"/>
      <c r="C453" s="1553"/>
      <c r="D453" s="1102"/>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3"/>
      <c r="AD453" s="923"/>
      <c r="AE453" s="1031"/>
      <c r="AF453" s="926"/>
      <c r="AG453" s="926"/>
      <c r="AH453" s="926"/>
      <c r="AI453" s="926"/>
      <c r="AJ453" s="926"/>
      <c r="AK453" s="926"/>
      <c r="AL453" s="926"/>
      <c r="AM453" s="1022"/>
      <c r="AN453" s="997"/>
      <c r="AO453" s="3122"/>
      <c r="AP453" s="3122"/>
    </row>
    <row r="454" spans="1:42" s="998" customFormat="1" ht="12.75" customHeight="1">
      <c r="A454" s="1056"/>
      <c r="B454" s="1019"/>
      <c r="C454" s="1553"/>
      <c r="D454" s="1102"/>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99" t="s">
        <v>2119</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3"/>
      <c r="AD457" s="923"/>
      <c r="AE457" s="923"/>
      <c r="AF457" s="3054" t="s">
        <v>1678</v>
      </c>
      <c r="AG457" s="3054"/>
      <c r="AH457" s="3054"/>
      <c r="AI457" s="3054"/>
      <c r="AJ457" s="3054"/>
      <c r="AK457" s="3054"/>
      <c r="AL457" s="3054"/>
      <c r="AM457" s="1022"/>
      <c r="AN457" s="996"/>
      <c r="AO457" s="1114" t="s">
        <v>542</v>
      </c>
      <c r="AP457" s="939">
        <v>1</v>
      </c>
    </row>
    <row r="458" spans="1:42" s="939" customFormat="1" ht="12" customHeight="1">
      <c r="A458" s="1022"/>
      <c r="B458" s="923"/>
      <c r="C458" s="1561"/>
      <c r="D458" s="923"/>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99" t="s">
        <v>2118</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18" t="s">
        <v>626</v>
      </c>
      <c r="I466" s="3118"/>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78">
        <f>VLOOKUP($H$466,$AO$413:$AP$415,2,FALSE)</f>
        <v>0</v>
      </c>
      <c r="AK468" s="3080"/>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23" t="s">
        <v>2122</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3"/>
      <c r="AD472" s="923"/>
      <c r="AE472" s="923"/>
      <c r="AF472" s="3054" t="s">
        <v>1614</v>
      </c>
      <c r="AG472" s="3054"/>
      <c r="AH472" s="3054"/>
      <c r="AI472" s="3054"/>
      <c r="AJ472" s="3054"/>
      <c r="AK472" s="3054"/>
      <c r="AL472" s="3054"/>
      <c r="AM472" s="1022"/>
      <c r="AN472" s="1129"/>
      <c r="AP472" s="1131" t="s">
        <v>1706</v>
      </c>
    </row>
    <row r="473" spans="1:43" s="1130" customFormat="1" ht="11.85" customHeight="1">
      <c r="A473" s="1056"/>
      <c r="B473" s="1019"/>
      <c r="C473" s="1543"/>
      <c r="D473" s="1102"/>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3"/>
      <c r="AD473" s="923"/>
      <c r="AE473" s="1019"/>
      <c r="AF473" s="923"/>
      <c r="AG473" s="923"/>
      <c r="AH473" s="923"/>
      <c r="AI473" s="923"/>
      <c r="AJ473" s="923"/>
      <c r="AK473" s="923"/>
      <c r="AL473" s="923"/>
      <c r="AM473" s="1022"/>
      <c r="AN473" s="1129"/>
      <c r="AP473" s="1131" t="s">
        <v>1707</v>
      </c>
    </row>
    <row r="474" spans="1:43" s="1130" customFormat="1" ht="13.85" customHeight="1">
      <c r="A474" s="1056"/>
      <c r="B474" s="1020"/>
      <c r="C474" s="1544"/>
      <c r="D474" s="1102"/>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3"/>
      <c r="AD474" s="923"/>
      <c r="AE474" s="1031"/>
      <c r="AF474" s="923"/>
      <c r="AG474" s="923"/>
      <c r="AH474" s="923"/>
      <c r="AI474" s="923"/>
      <c r="AJ474" s="923"/>
      <c r="AK474" s="923"/>
      <c r="AL474" s="923"/>
      <c r="AM474" s="1022"/>
      <c r="AN474" s="1129"/>
      <c r="AP474" s="1131" t="s">
        <v>1708</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85" customHeight="1">
      <c r="A476" s="1056"/>
      <c r="B476" s="1002"/>
      <c r="C476" s="1541"/>
      <c r="D476" s="1102" t="s">
        <v>542</v>
      </c>
      <c r="E476" s="3124" t="s">
        <v>1709</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3"/>
      <c r="AD476" s="923"/>
      <c r="AE476" s="923"/>
      <c r="AF476" s="3054" t="s">
        <v>1678</v>
      </c>
      <c r="AG476" s="3054"/>
      <c r="AH476" s="3054"/>
      <c r="AI476" s="3054"/>
      <c r="AJ476" s="3054"/>
      <c r="AK476" s="3054"/>
      <c r="AL476" s="3054"/>
      <c r="AM476" s="1022"/>
      <c r="AN476" s="1132"/>
    </row>
    <row r="477" spans="1:43" s="1130" customFormat="1" ht="12.75" customHeight="1">
      <c r="A477" s="1056"/>
      <c r="B477" s="1019"/>
      <c r="C477" s="1543"/>
      <c r="D477" s="1019"/>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19"/>
      <c r="AD477" s="1019"/>
      <c r="AE477" s="1019"/>
      <c r="AF477" s="1019"/>
      <c r="AG477" s="1019"/>
      <c r="AH477" s="1019"/>
      <c r="AI477" s="1019"/>
      <c r="AJ477" s="923"/>
      <c r="AK477" s="1002"/>
      <c r="AL477" s="1002"/>
      <c r="AM477" s="1022"/>
      <c r="AN477" s="1129"/>
      <c r="AP477" s="939" t="s">
        <v>626</v>
      </c>
      <c r="AQ477" s="1116">
        <v>0</v>
      </c>
    </row>
    <row r="478" spans="1:43" s="1130" customFormat="1" ht="13.85" customHeight="1">
      <c r="A478" s="1056"/>
      <c r="B478" s="1019"/>
      <c r="C478" s="1543"/>
      <c r="D478" s="1019"/>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19"/>
      <c r="AD478" s="1019"/>
      <c r="AE478" s="1019"/>
      <c r="AF478" s="1019"/>
      <c r="AG478" s="1019"/>
      <c r="AH478" s="1019"/>
      <c r="AI478" s="1019"/>
      <c r="AJ478" s="923"/>
      <c r="AK478" s="1002"/>
      <c r="AL478" s="1002"/>
      <c r="AM478" s="1022"/>
      <c r="AN478" s="1129"/>
      <c r="AP478" s="1114" t="s">
        <v>725</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85" customHeight="1">
      <c r="A480" s="1056"/>
      <c r="B480" s="1019"/>
      <c r="C480" s="1543"/>
      <c r="D480" s="1019" t="s">
        <v>1670</v>
      </c>
      <c r="E480" s="1547"/>
      <c r="F480" s="1547"/>
      <c r="G480" s="1547"/>
      <c r="H480" s="3118" t="s">
        <v>626</v>
      </c>
      <c r="I480" s="3118"/>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78">
        <f>VLOOKUP($H$480,$AO$413:$AP$415,2,FALSE)</f>
        <v>0</v>
      </c>
      <c r="AK482" s="3080"/>
      <c r="AL482" s="1001"/>
      <c r="AM482" s="998"/>
      <c r="AN482" s="1134"/>
      <c r="AP482" s="3078"/>
      <c r="AQ482" s="3080"/>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725</v>
      </c>
      <c r="E486" s="3099" t="s">
        <v>2123</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3"/>
      <c r="AD486" s="923"/>
      <c r="AE486" s="923"/>
      <c r="AF486" s="3054" t="s">
        <v>1614</v>
      </c>
      <c r="AG486" s="3054"/>
      <c r="AH486" s="3054"/>
      <c r="AI486" s="3054"/>
      <c r="AJ486" s="3054"/>
      <c r="AK486" s="3054"/>
      <c r="AL486" s="3054"/>
      <c r="AM486" s="1022"/>
      <c r="AN486" s="1129"/>
      <c r="AT486" s="51"/>
      <c r="AU486" s="51"/>
      <c r="AV486" s="51"/>
      <c r="AW486" s="51"/>
      <c r="AX486" s="51"/>
      <c r="AY486" s="51"/>
      <c r="AZ486" s="51"/>
    </row>
    <row r="487" spans="1:81" s="1130" customFormat="1" ht="13.1">
      <c r="A487" s="1056"/>
      <c r="B487" s="1019"/>
      <c r="C487" s="1543"/>
      <c r="D487" s="1102"/>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99" t="s">
        <v>1713</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3"/>
      <c r="AD489" s="923"/>
      <c r="AE489" s="923"/>
      <c r="AF489" s="3054" t="s">
        <v>1678</v>
      </c>
      <c r="AG489" s="3054"/>
      <c r="AH489" s="3054"/>
      <c r="AI489" s="3054"/>
      <c r="AJ489" s="3054"/>
      <c r="AK489" s="3054"/>
      <c r="AL489" s="3054"/>
      <c r="AM489" s="1022"/>
      <c r="AN489" s="1129"/>
      <c r="AT489" s="51"/>
      <c r="AU489" s="51"/>
      <c r="AV489" s="51"/>
      <c r="AW489" s="51"/>
      <c r="AX489" s="51"/>
      <c r="AY489" s="51"/>
      <c r="AZ489" s="51"/>
    </row>
    <row r="490" spans="1:81" s="1130" customFormat="1" ht="13.1">
      <c r="A490" s="1056"/>
      <c r="B490" s="1019"/>
      <c r="C490" s="1543"/>
      <c r="D490" s="1019"/>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18" t="s">
        <v>626</v>
      </c>
      <c r="I492" s="3118"/>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78">
        <f>VLOOKUP($H$492,$AO$427:$AP$429,2,FALSE)</f>
        <v>0</v>
      </c>
      <c r="AK494" s="3080"/>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725</v>
      </c>
      <c r="E498" s="3099" t="s">
        <v>1716</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3"/>
      <c r="AD498" s="923"/>
      <c r="AE498" s="923"/>
      <c r="AF498" s="3054" t="s">
        <v>1614</v>
      </c>
      <c r="AG498" s="3054"/>
      <c r="AH498" s="3054"/>
      <c r="AI498" s="3054"/>
      <c r="AJ498" s="3054"/>
      <c r="AK498" s="3054"/>
      <c r="AL498" s="3054"/>
      <c r="AM498" s="1022"/>
      <c r="AN498" s="1129"/>
      <c r="AT498" s="51"/>
      <c r="AU498" s="51"/>
      <c r="AV498" s="51"/>
      <c r="AW498" s="51"/>
      <c r="AX498" s="51"/>
      <c r="AY498" s="51"/>
      <c r="AZ498" s="51"/>
    </row>
    <row r="499" spans="1:81" s="1130" customFormat="1" ht="13.1">
      <c r="A499" s="1056"/>
      <c r="B499" s="923"/>
      <c r="C499" s="1541"/>
      <c r="D499" s="1102"/>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542</v>
      </c>
      <c r="E503" s="3099" t="s">
        <v>1717</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65"/>
      <c r="AC503" s="923"/>
      <c r="AD503" s="923"/>
      <c r="AE503" s="923"/>
      <c r="AF503" s="3054" t="s">
        <v>1678</v>
      </c>
      <c r="AG503" s="3054"/>
      <c r="AH503" s="3054"/>
      <c r="AI503" s="3054"/>
      <c r="AJ503" s="3054"/>
      <c r="AK503" s="3054"/>
      <c r="AL503" s="3054"/>
      <c r="AM503" s="1022"/>
      <c r="AN503" s="1129"/>
      <c r="AO503" s="126"/>
      <c r="AP503" s="51"/>
    </row>
    <row r="504" spans="1:81" s="1130" customFormat="1" ht="13.1">
      <c r="A504" s="1056"/>
      <c r="B504" s="1002"/>
      <c r="C504" s="1541"/>
      <c r="D504" s="1102"/>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18" t="s">
        <v>626</v>
      </c>
      <c r="I508" s="3118"/>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78">
        <f>VLOOKUP($H$508,$AO$441:$AP$443,2,FALSE)</f>
        <v>0</v>
      </c>
      <c r="AK510" s="3080"/>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725</v>
      </c>
      <c r="E514" s="3099" t="s">
        <v>1719</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3"/>
      <c r="AD514" s="923"/>
      <c r="AE514" s="923"/>
      <c r="AF514" s="3054" t="s">
        <v>1678</v>
      </c>
      <c r="AG514" s="3054"/>
      <c r="AH514" s="3054"/>
      <c r="AI514" s="3054"/>
      <c r="AJ514" s="3054"/>
      <c r="AK514" s="3054"/>
      <c r="AL514" s="3054"/>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542</v>
      </c>
      <c r="E517" s="3099" t="s">
        <v>1720</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3"/>
      <c r="AD517" s="923"/>
      <c r="AE517" s="923"/>
      <c r="AF517" s="3054" t="s">
        <v>1697</v>
      </c>
      <c r="AG517" s="3054"/>
      <c r="AH517" s="3054"/>
      <c r="AI517" s="3054"/>
      <c r="AJ517" s="3054"/>
      <c r="AK517" s="3054"/>
      <c r="AL517" s="3054"/>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18" t="s">
        <v>626</v>
      </c>
      <c r="I520" s="3118"/>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78">
        <f>VLOOKUP($H$520,$AO$455:$AP$457,2,FALSE)</f>
        <v>0</v>
      </c>
      <c r="AK522" s="3080"/>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099" t="s">
        <v>2116</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3"/>
      <c r="AF526" s="3054" t="s">
        <v>1678</v>
      </c>
      <c r="AG526" s="3054"/>
      <c r="AH526" s="3054"/>
      <c r="AI526" s="3054"/>
      <c r="AJ526" s="3054"/>
      <c r="AK526" s="3054"/>
      <c r="AL526" s="3054"/>
      <c r="AM526" s="1027"/>
      <c r="AN526" s="1129"/>
    </row>
    <row r="527" spans="1:74" s="1130" customFormat="1" ht="13.75" customHeight="1">
      <c r="A527" s="1056"/>
      <c r="B527" s="1031"/>
      <c r="C527" s="1553"/>
      <c r="D527" s="1102"/>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3"/>
      <c r="AF527" s="1500"/>
      <c r="AG527" s="1500"/>
      <c r="AH527" s="1500"/>
      <c r="AI527" s="1500"/>
      <c r="AJ527" s="1500"/>
      <c r="AK527" s="1500"/>
      <c r="AL527" s="1500"/>
      <c r="AM527" s="1027"/>
      <c r="AN527" s="1129"/>
    </row>
    <row r="528" spans="1:74" s="1130" customFormat="1" ht="13.1">
      <c r="A528" s="1056"/>
      <c r="B528" s="1031"/>
      <c r="C528" s="1553"/>
      <c r="D528" s="1102"/>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26" t="s">
        <v>2124</v>
      </c>
      <c r="F531" s="3126"/>
      <c r="G531" s="3126"/>
      <c r="H531" s="3126"/>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6"/>
      <c r="AD531" s="3126"/>
      <c r="AE531" s="923"/>
      <c r="AF531" s="3054" t="s">
        <v>1614</v>
      </c>
      <c r="AG531" s="3054"/>
      <c r="AH531" s="3054"/>
      <c r="AI531" s="3054"/>
      <c r="AJ531" s="3054"/>
      <c r="AK531" s="3054"/>
      <c r="AL531" s="3054"/>
      <c r="AM531" s="1027"/>
      <c r="AN531" s="996"/>
    </row>
    <row r="532" spans="1:81" s="939" customFormat="1" ht="12.75" customHeight="1">
      <c r="A532" s="1056"/>
      <c r="B532" s="1031"/>
      <c r="C532" s="1553"/>
      <c r="D532" s="1102"/>
      <c r="E532" s="3126"/>
      <c r="F532" s="3126"/>
      <c r="G532" s="3126"/>
      <c r="H532" s="3126"/>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6"/>
      <c r="AD532" s="3126"/>
      <c r="AE532" s="1500"/>
      <c r="AF532" s="1500"/>
      <c r="AG532" s="1500"/>
      <c r="AH532" s="1500"/>
      <c r="AI532" s="1500"/>
      <c r="AJ532" s="1500"/>
      <c r="AK532" s="1500"/>
      <c r="AL532" s="1500"/>
      <c r="AM532" s="1027"/>
      <c r="AN532" s="996"/>
    </row>
    <row r="533" spans="1:81" s="939" customFormat="1" ht="12.75" customHeight="1">
      <c r="A533" s="1056"/>
      <c r="B533" s="1031"/>
      <c r="C533" s="1553"/>
      <c r="D533" s="1102"/>
      <c r="E533" s="3126"/>
      <c r="F533" s="3126"/>
      <c r="G533" s="3126"/>
      <c r="H533" s="3126"/>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6"/>
      <c r="AD533" s="3126"/>
      <c r="AE533" s="1500"/>
      <c r="AF533" s="1500"/>
      <c r="AG533" s="1500"/>
      <c r="AH533" s="1500"/>
      <c r="AI533" s="1500"/>
      <c r="AJ533" s="1500"/>
      <c r="AK533" s="1500"/>
      <c r="AL533" s="1500"/>
      <c r="AM533" s="1027"/>
      <c r="AN533" s="996"/>
    </row>
    <row r="534" spans="1:81" s="939" customFormat="1" ht="12.75" customHeight="1">
      <c r="A534" s="1056"/>
      <c r="B534" s="1031"/>
      <c r="C534" s="1553"/>
      <c r="D534" s="1102"/>
      <c r="E534" s="3126"/>
      <c r="F534" s="3126"/>
      <c r="G534" s="3126"/>
      <c r="H534" s="3126"/>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6"/>
      <c r="AD534" s="3126"/>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18" t="s">
        <v>626</v>
      </c>
      <c r="I536" s="3118"/>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78">
        <f>VLOOKUP($H$536,$AP$477:$AQ$479,2,FALSE)</f>
        <v>0</v>
      </c>
      <c r="AK538" s="3080"/>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099" t="s">
        <v>2115</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3"/>
      <c r="AF542" s="3054" t="s">
        <v>1724</v>
      </c>
      <c r="AG542" s="3054"/>
      <c r="AH542" s="3054"/>
      <c r="AI542" s="3054"/>
      <c r="AJ542" s="3054"/>
      <c r="AK542" s="3054"/>
      <c r="AL542" s="3054"/>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1670</v>
      </c>
      <c r="E547" s="1547"/>
      <c r="F547" s="1547"/>
      <c r="G547" s="1547"/>
      <c r="H547" s="3118" t="s">
        <v>626</v>
      </c>
      <c r="I547" s="3118"/>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78">
        <f>VLOOKUP($H$547,$AO$541:$AP$542,2,FALSE)</f>
        <v>0</v>
      </c>
      <c r="AK549" s="3080"/>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78">
        <f>IF(($AJ$382+$AJ$401+$AJ$413+$AJ$448+$AJ$468+$AJ$482+$AJ$494+$AJ$510+$AJ$522+$AJ$538+AJ549)&gt;10,10,($AJ$382+$AJ$401+$AJ$413+$AJ$448+$AJ$468+$AJ$482+$AJ$494+$AJ$510+$AJ$522+$AJ$538+AJ549))</f>
        <v>0</v>
      </c>
      <c r="AL551" s="3079"/>
      <c r="AM551" s="3080"/>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78">
        <f>IF((AK320+AK551)&gt;20,20,(AK320+AK551))</f>
        <v>20</v>
      </c>
      <c r="AL553" s="3079"/>
      <c r="AM553" s="3080"/>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68" t="s">
        <v>1576</v>
      </c>
      <c r="AF556" s="3068"/>
      <c r="AG556" s="3068"/>
      <c r="AH556" s="3068"/>
      <c r="AI556" s="3068"/>
      <c r="AJ556" s="3068"/>
      <c r="AK556" s="3068"/>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5" t="s">
        <v>1729</v>
      </c>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23"/>
      <c r="AL558" s="1023"/>
      <c r="AM558" s="1023"/>
      <c r="AN558" s="996"/>
    </row>
    <row r="559" spans="1:81" s="939" customFormat="1" ht="12.75" customHeight="1">
      <c r="A559" s="1023"/>
      <c r="B559" s="1024"/>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23"/>
      <c r="AL559" s="1023"/>
      <c r="AM559" s="1023"/>
      <c r="AN559" s="996"/>
    </row>
    <row r="560" spans="1:81" s="939" customFormat="1" ht="12.75" customHeight="1">
      <c r="A560" s="1023"/>
      <c r="B560" s="1024"/>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23"/>
      <c r="AL560" s="1023"/>
      <c r="AM560" s="1023"/>
      <c r="AN560" s="996"/>
      <c r="AQ560" s="1131"/>
      <c r="AR560" s="998"/>
    </row>
    <row r="561" spans="1:46" s="939" customFormat="1" ht="12.75" customHeight="1">
      <c r="A561" s="1023"/>
      <c r="B561" s="1114"/>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23"/>
      <c r="AL561" s="1023"/>
      <c r="AM561" s="1023"/>
      <c r="AN561" s="996"/>
      <c r="AQ561" s="1131"/>
      <c r="AR561" s="998"/>
    </row>
    <row r="562" spans="1:46" s="939" customFormat="1" ht="12.5" customHeight="1">
      <c r="A562" s="1023"/>
      <c r="B562" s="1114"/>
      <c r="C562" s="3125"/>
      <c r="D562" s="3125"/>
      <c r="E562" s="3125"/>
      <c r="F562" s="3125"/>
      <c r="G562" s="3125"/>
      <c r="H562" s="3125"/>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25"/>
      <c r="AD562" s="3125"/>
      <c r="AE562" s="3125"/>
      <c r="AF562" s="3125"/>
      <c r="AG562" s="3125"/>
      <c r="AH562" s="3125"/>
      <c r="AI562" s="3125"/>
      <c r="AJ562" s="3125"/>
      <c r="AK562" s="1023"/>
      <c r="AL562" s="1023"/>
      <c r="AM562" s="1023"/>
      <c r="AN562" s="996"/>
      <c r="AQ562" s="1131"/>
      <c r="AR562" s="1131"/>
    </row>
    <row r="563" spans="1:46" s="939" customFormat="1" ht="24.95" customHeight="1">
      <c r="A563" s="1023"/>
      <c r="B563" s="1114"/>
      <c r="C563" s="3125" t="s">
        <v>1730</v>
      </c>
      <c r="D563" s="3125"/>
      <c r="E563" s="3125"/>
      <c r="F563" s="3125"/>
      <c r="G563" s="3125"/>
      <c r="H563" s="3125"/>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25"/>
      <c r="AD563" s="3125"/>
      <c r="AE563" s="3125"/>
      <c r="AF563" s="3125"/>
      <c r="AG563" s="3125"/>
      <c r="AH563" s="3125"/>
      <c r="AI563" s="3125"/>
      <c r="AJ563" s="3125"/>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5" t="s">
        <v>2307</v>
      </c>
      <c r="D565" s="3125"/>
      <c r="E565" s="3125"/>
      <c r="F565" s="3125"/>
      <c r="G565" s="3125"/>
      <c r="H565" s="3125"/>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25"/>
      <c r="AD565" s="3125"/>
      <c r="AE565" s="3125"/>
      <c r="AF565" s="3125"/>
      <c r="AG565" s="3125"/>
      <c r="AH565" s="3125"/>
      <c r="AI565" s="3125"/>
      <c r="AJ565" s="3125"/>
      <c r="AK565" s="1023"/>
      <c r="AL565" s="1023"/>
      <c r="AM565" s="1023"/>
      <c r="AN565" s="996"/>
      <c r="AQ565" s="1131"/>
      <c r="AR565" s="1131"/>
    </row>
    <row r="566" spans="1:46" s="939" customFormat="1" ht="30" customHeight="1">
      <c r="A566" s="1023"/>
      <c r="B566" s="1114"/>
      <c r="C566" s="3125"/>
      <c r="D566" s="3125"/>
      <c r="E566" s="3125"/>
      <c r="F566" s="3125"/>
      <c r="G566" s="3125"/>
      <c r="H566" s="3125"/>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25"/>
      <c r="AD566" s="3125"/>
      <c r="AE566" s="3125"/>
      <c r="AF566" s="3125"/>
      <c r="AG566" s="3125"/>
      <c r="AH566" s="3125"/>
      <c r="AI566" s="3125"/>
      <c r="AJ566" s="3125"/>
      <c r="AK566" s="1023"/>
      <c r="AL566" s="1023"/>
      <c r="AM566" s="1023"/>
      <c r="AN566" s="996"/>
      <c r="AQ566" s="998"/>
      <c r="AR566" s="1131"/>
    </row>
    <row r="567" spans="1:46" s="939" customFormat="1" ht="12.75" customHeight="1">
      <c r="A567" s="1023"/>
      <c r="B567" s="1114"/>
      <c r="C567" s="3125"/>
      <c r="D567" s="3125"/>
      <c r="E567" s="3125"/>
      <c r="F567" s="3125"/>
      <c r="G567" s="3125"/>
      <c r="H567" s="3125"/>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25"/>
      <c r="AD567" s="3125"/>
      <c r="AE567" s="3125"/>
      <c r="AF567" s="3125"/>
      <c r="AG567" s="3125"/>
      <c r="AH567" s="3125"/>
      <c r="AI567" s="3125"/>
      <c r="AJ567" s="3125"/>
      <c r="AK567" s="1023"/>
      <c r="AL567" s="1023"/>
      <c r="AM567" s="1023"/>
      <c r="AN567" s="996"/>
      <c r="AQ567" s="998"/>
      <c r="AR567" s="1131"/>
    </row>
    <row r="568" spans="1:46" s="939" customFormat="1" ht="12.75" customHeight="1">
      <c r="A568" s="1023"/>
      <c r="B568" s="1114"/>
      <c r="C568" s="3125" t="s">
        <v>1731</v>
      </c>
      <c r="D568" s="3125"/>
      <c r="E568" s="3125"/>
      <c r="F568" s="3125"/>
      <c r="G568" s="3125"/>
      <c r="H568" s="3125"/>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25"/>
      <c r="AD568" s="3125"/>
      <c r="AE568" s="3125"/>
      <c r="AF568" s="3125"/>
      <c r="AG568" s="3125"/>
      <c r="AH568" s="3125"/>
      <c r="AI568" s="3125"/>
      <c r="AJ568" s="3125"/>
      <c r="AK568" s="1023"/>
      <c r="AL568" s="1023"/>
      <c r="AM568" s="1023"/>
      <c r="AN568" s="996"/>
      <c r="AQ568" s="1131"/>
      <c r="AR568" s="1131"/>
    </row>
    <row r="569" spans="1:46" s="939" customFormat="1" ht="12.75" customHeight="1">
      <c r="A569" s="1023"/>
      <c r="B569" s="1114"/>
      <c r="C569" s="3125"/>
      <c r="D569" s="3125"/>
      <c r="E569" s="3125"/>
      <c r="F569" s="3125"/>
      <c r="G569" s="3125"/>
      <c r="H569" s="3125"/>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25"/>
      <c r="AD569" s="3125"/>
      <c r="AE569" s="3125"/>
      <c r="AF569" s="3125"/>
      <c r="AG569" s="3125"/>
      <c r="AH569" s="3125"/>
      <c r="AI569" s="3125"/>
      <c r="AJ569" s="3125"/>
      <c r="AK569" s="1023"/>
      <c r="AL569" s="1023"/>
      <c r="AM569" s="1023"/>
      <c r="AN569" s="996"/>
      <c r="AQ569" s="1131"/>
      <c r="AR569" s="1131"/>
    </row>
    <row r="570" spans="1:46" s="939" customFormat="1" ht="13.1" customHeight="1">
      <c r="A570" s="1023"/>
      <c r="B570" s="1114"/>
      <c r="C570" s="3125"/>
      <c r="D570" s="3125"/>
      <c r="E570" s="3125"/>
      <c r="F570" s="3125"/>
      <c r="G570" s="3125"/>
      <c r="H570" s="3125"/>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25"/>
      <c r="AD570" s="3125"/>
      <c r="AE570" s="3125"/>
      <c r="AF570" s="3125"/>
      <c r="AG570" s="3125"/>
      <c r="AH570" s="3125"/>
      <c r="AI570" s="3125"/>
      <c r="AJ570" s="3125"/>
      <c r="AK570" s="1023"/>
      <c r="AL570" s="1023"/>
      <c r="AM570" s="1023"/>
      <c r="AN570" s="996"/>
      <c r="AQ570" s="1131"/>
      <c r="AR570" s="1131"/>
    </row>
    <row r="571" spans="1:46" s="939" customFormat="1" ht="12.75" customHeight="1">
      <c r="A571" s="1023"/>
      <c r="B571" s="1114"/>
      <c r="C571" s="3125"/>
      <c r="D571" s="3125"/>
      <c r="E571" s="3125"/>
      <c r="F571" s="3125"/>
      <c r="G571" s="3125"/>
      <c r="H571" s="3125"/>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25"/>
      <c r="AD571" s="3125"/>
      <c r="AE571" s="3125"/>
      <c r="AF571" s="3125"/>
      <c r="AG571" s="3125"/>
      <c r="AH571" s="3125"/>
      <c r="AI571" s="3125"/>
      <c r="AJ571" s="3125"/>
      <c r="AK571" s="1023"/>
      <c r="AL571" s="1023"/>
      <c r="AM571" s="1023"/>
      <c r="AN571" s="996"/>
      <c r="AO571" s="1146"/>
      <c r="AP571" s="1146"/>
      <c r="AQ571" s="1131"/>
      <c r="AR571" s="998"/>
    </row>
    <row r="572" spans="1:46" s="939" customFormat="1" ht="11.85" customHeight="1">
      <c r="A572" s="1023"/>
      <c r="B572" s="1114"/>
      <c r="C572" s="3125"/>
      <c r="D572" s="3125"/>
      <c r="E572" s="3125"/>
      <c r="F572" s="3125"/>
      <c r="G572" s="3125"/>
      <c r="H572" s="3125"/>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25"/>
      <c r="AD572" s="3125"/>
      <c r="AE572" s="3125"/>
      <c r="AF572" s="3125"/>
      <c r="AG572" s="3125"/>
      <c r="AH572" s="3125"/>
      <c r="AI572" s="3125"/>
      <c r="AJ572" s="3125"/>
      <c r="AK572" s="1023"/>
      <c r="AL572" s="1023"/>
      <c r="AM572" s="1023"/>
      <c r="AN572" s="996"/>
      <c r="AO572" s="1147" t="s">
        <v>117</v>
      </c>
      <c r="AP572" s="1148">
        <f>IF(C596="Yes",5,0)</f>
        <v>0</v>
      </c>
      <c r="AQ572" s="998"/>
      <c r="AR572" s="998"/>
      <c r="AS572" s="928" t="s">
        <v>1732</v>
      </c>
    </row>
    <row r="573" spans="1:46" s="939" customFormat="1" ht="12.75" customHeight="1">
      <c r="A573" s="1023"/>
      <c r="B573" s="1114"/>
      <c r="C573" s="3125"/>
      <c r="D573" s="3125"/>
      <c r="E573" s="3125"/>
      <c r="F573" s="3125"/>
      <c r="G573" s="3125"/>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1023"/>
      <c r="AL573" s="1023"/>
      <c r="AM573" s="1023"/>
      <c r="AN573" s="996"/>
      <c r="AO573" s="1147" t="s">
        <v>118</v>
      </c>
      <c r="AP573" s="1148">
        <f>IF(C604="Yes",5,0)</f>
        <v>0</v>
      </c>
      <c r="AQ573" s="998"/>
      <c r="AR573" s="998"/>
      <c r="AS573" s="3132">
        <f>IF(Application!D210="Non-Targeted",(SUM(AQ581+AQ590)),AS577)</f>
        <v>10</v>
      </c>
      <c r="AT573" s="3132"/>
    </row>
    <row r="574" spans="1:46" s="939" customFormat="1" ht="12.75" customHeight="1">
      <c r="A574" s="1023"/>
      <c r="B574" s="1114"/>
      <c r="C574" s="3125"/>
      <c r="D574" s="3125"/>
      <c r="E574" s="3125"/>
      <c r="F574" s="3125"/>
      <c r="G574" s="3125"/>
      <c r="H574" s="3125"/>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25"/>
      <c r="AD574" s="3125"/>
      <c r="AE574" s="3125"/>
      <c r="AF574" s="3125"/>
      <c r="AG574" s="3125"/>
      <c r="AH574" s="3125"/>
      <c r="AI574" s="3125"/>
      <c r="AJ574" s="3125"/>
      <c r="AK574" s="1023"/>
      <c r="AL574" s="1023"/>
      <c r="AM574" s="1023"/>
      <c r="AN574" s="996"/>
      <c r="AO574" s="1147" t="s">
        <v>124</v>
      </c>
      <c r="AP574" s="1148">
        <f>IF(C612="Yes",7,0)</f>
        <v>0</v>
      </c>
      <c r="AS574" s="928" t="s">
        <v>1733</v>
      </c>
    </row>
    <row r="575" spans="1:46" s="939" customFormat="1" ht="12.75" customHeight="1">
      <c r="A575" s="1023"/>
      <c r="B575" s="1114"/>
      <c r="C575" s="3125"/>
      <c r="D575" s="3125"/>
      <c r="E575" s="3125"/>
      <c r="F575" s="3125"/>
      <c r="G575" s="3125"/>
      <c r="H575" s="3125"/>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25"/>
      <c r="AD575" s="3125"/>
      <c r="AE575" s="3125"/>
      <c r="AF575" s="3125"/>
      <c r="AG575" s="3125"/>
      <c r="AH575" s="3125"/>
      <c r="AI575" s="3125"/>
      <c r="AJ575" s="3125"/>
      <c r="AK575" s="1023"/>
      <c r="AL575" s="1023"/>
      <c r="AM575" s="1023"/>
      <c r="AN575" s="996"/>
      <c r="AO575" s="996"/>
      <c r="AP575" s="1148">
        <f>IF(C614="Yes",5,0)</f>
        <v>5</v>
      </c>
      <c r="AS575" s="3132">
        <f>IF(AND(AQ581&gt;0,AQ590&gt;0),(AQ581+AQ590)/2,0)</f>
        <v>0</v>
      </c>
      <c r="AT575" s="3132"/>
    </row>
    <row r="576" spans="1:46" s="939" customFormat="1" ht="12.75" customHeight="1">
      <c r="A576" s="1023"/>
      <c r="B576" s="1114"/>
      <c r="C576" s="3125"/>
      <c r="D576" s="3125"/>
      <c r="E576" s="3125"/>
      <c r="F576" s="3125"/>
      <c r="G576" s="3125"/>
      <c r="H576" s="3125"/>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25"/>
      <c r="AD576" s="3125"/>
      <c r="AE576" s="3125"/>
      <c r="AF576" s="3125"/>
      <c r="AG576" s="3125"/>
      <c r="AH576" s="3125"/>
      <c r="AI576" s="3125"/>
      <c r="AJ576" s="3125"/>
      <c r="AK576" s="1023"/>
      <c r="AL576" s="1023"/>
      <c r="AM576" s="1023"/>
      <c r="AN576" s="996"/>
      <c r="AO576" s="1147" t="s">
        <v>616</v>
      </c>
      <c r="AP576" s="1148">
        <f>IF(C622="Yes",5,0)</f>
        <v>0</v>
      </c>
      <c r="AQ576" s="998"/>
      <c r="AR576" s="998"/>
      <c r="AS576" s="928" t="s">
        <v>2329</v>
      </c>
    </row>
    <row r="577" spans="1:81" s="939" customFormat="1" ht="12.75" customHeight="1">
      <c r="A577" s="1023"/>
      <c r="B577" s="1114"/>
      <c r="C577" s="3133" t="s">
        <v>1734</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3"/>
      <c r="AL577" s="1023"/>
      <c r="AM577" s="1023"/>
      <c r="AN577" s="996"/>
      <c r="AO577" s="996"/>
      <c r="AP577" s="1148">
        <f>IF(C624="Yes",3,0)</f>
        <v>0</v>
      </c>
      <c r="AS577" s="3132">
        <f>IF(AQ581=0,AQ590,AQ581)</f>
        <v>10</v>
      </c>
      <c r="AT577" s="3132"/>
    </row>
    <row r="578" spans="1:81" s="939" customFormat="1" ht="12.75" customHeight="1">
      <c r="A578" s="1023"/>
      <c r="B578" s="1114"/>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3"/>
      <c r="AL578" s="1023"/>
      <c r="AM578" s="1023"/>
      <c r="AN578" s="996"/>
      <c r="AO578" s="1147" t="s">
        <v>821</v>
      </c>
      <c r="AP578" s="1148">
        <f>IF(C627="Yes",5,0)</f>
        <v>0</v>
      </c>
    </row>
    <row r="579" spans="1:81" s="939" customFormat="1" ht="12.75" customHeight="1">
      <c r="A579" s="1023"/>
      <c r="B579" s="1114"/>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3"/>
      <c r="AL579" s="1023"/>
      <c r="AM579" s="1023"/>
      <c r="AN579" s="996"/>
      <c r="AO579" s="1147" t="s">
        <v>619</v>
      </c>
      <c r="AP579" s="1148">
        <f>IF(C636="Yes",5,0)</f>
        <v>5</v>
      </c>
    </row>
    <row r="580" spans="1:81" s="939" customFormat="1" ht="11.85" customHeight="1">
      <c r="A580" s="1023"/>
      <c r="B580" s="1114"/>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3"/>
      <c r="AL580" s="1023"/>
      <c r="AM580" s="1023"/>
      <c r="AN580" s="996"/>
      <c r="AO580" s="1149"/>
      <c r="AP580" s="1150">
        <f>IF(C638="Yes",3,0)</f>
        <v>0</v>
      </c>
    </row>
    <row r="581" spans="1:81" s="939" customFormat="1" ht="12.5" customHeight="1">
      <c r="A581" s="1023"/>
      <c r="B581" s="1114"/>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3"/>
      <c r="AL581" s="1023"/>
      <c r="AM581" s="1023"/>
      <c r="AN581" s="996"/>
      <c r="AO581" s="1151" t="s">
        <v>233</v>
      </c>
      <c r="AP581" s="1152">
        <f>SUM(AP572:AP580)</f>
        <v>10</v>
      </c>
      <c r="AQ581" s="3134">
        <f>IF(AP581&gt;0,AP581,0)</f>
        <v>10</v>
      </c>
      <c r="AR581" s="3134"/>
    </row>
    <row r="582" spans="1:81" s="939" customFormat="1" ht="12.75" customHeight="1">
      <c r="A582" s="1023"/>
      <c r="B582" s="1114"/>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25" t="s">
        <v>1735</v>
      </c>
      <c r="D584" s="3125"/>
      <c r="E584" s="3125"/>
      <c r="F584" s="3125"/>
      <c r="G584" s="3125"/>
      <c r="H584" s="3125"/>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25"/>
      <c r="AD584" s="3125"/>
      <c r="AE584" s="3125"/>
      <c r="AF584" s="3125"/>
      <c r="AG584" s="3125"/>
      <c r="AH584" s="3125"/>
      <c r="AI584" s="3125"/>
      <c r="AJ584" s="3125"/>
      <c r="AK584" s="1023"/>
      <c r="AL584" s="1023"/>
      <c r="AM584" s="1023"/>
      <c r="AN584" s="996"/>
      <c r="AO584" s="1147" t="s">
        <v>488</v>
      </c>
      <c r="AP584" s="1148">
        <f>IF(C657="Yes",5,0)</f>
        <v>0</v>
      </c>
    </row>
    <row r="585" spans="1:81" s="939" customFormat="1" ht="12.75" customHeight="1">
      <c r="A585" s="1023"/>
      <c r="B585" s="1114"/>
      <c r="C585" s="3125"/>
      <c r="D585" s="3125"/>
      <c r="E585" s="3125"/>
      <c r="F585" s="3125"/>
      <c r="G585" s="3125"/>
      <c r="H585" s="3125"/>
      <c r="I585" s="3125"/>
      <c r="J585" s="3125"/>
      <c r="K585" s="3125"/>
      <c r="L585" s="3125"/>
      <c r="M585" s="3125"/>
      <c r="N585" s="3125"/>
      <c r="O585" s="3125"/>
      <c r="P585" s="3125"/>
      <c r="Q585" s="3125"/>
      <c r="R585" s="3125"/>
      <c r="S585" s="3125"/>
      <c r="T585" s="3125"/>
      <c r="U585" s="3125"/>
      <c r="V585" s="3125"/>
      <c r="W585" s="3125"/>
      <c r="X585" s="3125"/>
      <c r="Y585" s="3125"/>
      <c r="Z585" s="3125"/>
      <c r="AA585" s="3125"/>
      <c r="AB585" s="3125"/>
      <c r="AC585" s="3125"/>
      <c r="AD585" s="3125"/>
      <c r="AE585" s="3125"/>
      <c r="AF585" s="3125"/>
      <c r="AG585" s="3125"/>
      <c r="AH585" s="3125"/>
      <c r="AI585" s="3125"/>
      <c r="AJ585" s="3125"/>
      <c r="AK585" s="1023"/>
      <c r="AL585" s="1023"/>
      <c r="AM585" s="1023"/>
      <c r="AN585" s="996"/>
      <c r="AO585" s="1147" t="s">
        <v>494</v>
      </c>
      <c r="AP585" s="1148">
        <f>IF(C664="Yes",5,0)</f>
        <v>0</v>
      </c>
    </row>
    <row r="586" spans="1:81" s="939" customFormat="1" ht="68.099999999999994" customHeight="1">
      <c r="A586" s="1023"/>
      <c r="B586" s="1114"/>
      <c r="C586" s="3125"/>
      <c r="D586" s="3125"/>
      <c r="E586" s="3125"/>
      <c r="F586" s="3125"/>
      <c r="G586" s="3125"/>
      <c r="H586" s="3125"/>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25"/>
      <c r="AD586" s="3125"/>
      <c r="AE586" s="3125"/>
      <c r="AF586" s="3125"/>
      <c r="AG586" s="3125"/>
      <c r="AH586" s="3125"/>
      <c r="AI586" s="3125"/>
      <c r="AJ586" s="3125"/>
      <c r="AK586" s="1023"/>
      <c r="AL586" s="1023"/>
      <c r="AM586" s="1023"/>
      <c r="AN586" s="996"/>
      <c r="AO586" s="1147" t="s">
        <v>681</v>
      </c>
      <c r="AP586" s="1154">
        <f>IF(C668="Yes",5,0)</f>
        <v>0</v>
      </c>
      <c r="AQ586" s="998"/>
      <c r="AR586" s="998"/>
    </row>
    <row r="587" spans="1:81" s="939" customFormat="1" ht="12.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34">
        <f>Application!CS663-U589</f>
        <v>514</v>
      </c>
      <c r="V588" s="3234"/>
      <c r="W588" s="3234"/>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35">
        <f>Application!AG756</f>
        <v>0</v>
      </c>
      <c r="V589" s="3235"/>
      <c r="W589" s="3235"/>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34">
        <f>IF(AP590&gt;0,AP590,0)</f>
        <v>0</v>
      </c>
      <c r="AR590" s="3134"/>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30" t="s">
        <v>1740</v>
      </c>
      <c r="G592" s="3130"/>
      <c r="H592" s="3130"/>
      <c r="I592" s="3130"/>
      <c r="J592" s="3130"/>
      <c r="K592" s="3130"/>
      <c r="L592" s="3130"/>
      <c r="M592" s="3130"/>
      <c r="N592" s="3130"/>
      <c r="O592" s="3130"/>
      <c r="P592" s="3130"/>
      <c r="Q592" s="3130"/>
      <c r="R592" s="3130"/>
      <c r="S592" s="3130"/>
      <c r="T592" s="3130"/>
      <c r="U592" s="3130"/>
      <c r="V592" s="3130"/>
      <c r="W592" s="3130"/>
      <c r="X592" s="3130"/>
      <c r="Y592" s="3130"/>
      <c r="Z592" s="3130"/>
      <c r="AA592" s="3130"/>
      <c r="AB592" s="3130"/>
      <c r="AC592" s="3130"/>
      <c r="AD592" s="3130"/>
      <c r="AE592" s="3130"/>
      <c r="AF592" s="3130"/>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1"/>
      <c r="G593" s="3131"/>
      <c r="H593" s="3131"/>
      <c r="I593" s="3131"/>
      <c r="J593" s="3131"/>
      <c r="K593" s="3131"/>
      <c r="L593" s="3131"/>
      <c r="M593" s="3131"/>
      <c r="N593" s="3131"/>
      <c r="O593" s="3131"/>
      <c r="P593" s="3131"/>
      <c r="Q593" s="3131"/>
      <c r="R593" s="3131"/>
      <c r="S593" s="3131"/>
      <c r="T593" s="3131"/>
      <c r="U593" s="3131"/>
      <c r="V593" s="3131"/>
      <c r="W593" s="3131"/>
      <c r="X593" s="3131"/>
      <c r="Y593" s="3131"/>
      <c r="Z593" s="3131"/>
      <c r="AA593" s="3131"/>
      <c r="AB593" s="3131"/>
      <c r="AC593" s="3131"/>
      <c r="AD593" s="3131"/>
      <c r="AE593" s="3131"/>
      <c r="AF593" s="3131"/>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1"/>
      <c r="G594" s="3131"/>
      <c r="H594" s="3131"/>
      <c r="I594" s="3131"/>
      <c r="J594" s="3131"/>
      <c r="K594" s="3131"/>
      <c r="L594" s="3131"/>
      <c r="M594" s="3131"/>
      <c r="N594" s="3131"/>
      <c r="O594" s="3131"/>
      <c r="P594" s="3131"/>
      <c r="Q594" s="3131"/>
      <c r="R594" s="3131"/>
      <c r="S594" s="3131"/>
      <c r="T594" s="3131"/>
      <c r="U594" s="3131"/>
      <c r="V594" s="3131"/>
      <c r="W594" s="3131"/>
      <c r="X594" s="3131"/>
      <c r="Y594" s="3131"/>
      <c r="Z594" s="3131"/>
      <c r="AA594" s="3131"/>
      <c r="AB594" s="3131"/>
      <c r="AC594" s="3131"/>
      <c r="AD594" s="3131"/>
      <c r="AE594" s="3131"/>
      <c r="AF594" s="3131"/>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1"/>
      <c r="G595" s="3131"/>
      <c r="H595" s="3131"/>
      <c r="I595" s="3131"/>
      <c r="J595" s="3131"/>
      <c r="K595" s="3131"/>
      <c r="L595" s="3131"/>
      <c r="M595" s="3131"/>
      <c r="N595" s="3131"/>
      <c r="O595" s="3131"/>
      <c r="P595" s="3131"/>
      <c r="Q595" s="3131"/>
      <c r="R595" s="3131"/>
      <c r="S595" s="3131"/>
      <c r="T595" s="3131"/>
      <c r="U595" s="3131"/>
      <c r="V595" s="3131"/>
      <c r="W595" s="3131"/>
      <c r="X595" s="3131"/>
      <c r="Y595" s="3131"/>
      <c r="Z595" s="3131"/>
      <c r="AA595" s="3131"/>
      <c r="AB595" s="3131"/>
      <c r="AC595" s="3131"/>
      <c r="AD595" s="3131"/>
      <c r="AE595" s="3131"/>
      <c r="AF595" s="3131"/>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27" t="s">
        <v>626</v>
      </c>
      <c r="D596" s="3075"/>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28" t="s">
        <v>1742</v>
      </c>
      <c r="AG596" s="3128"/>
      <c r="AH596" s="3128"/>
      <c r="AI596" s="3128"/>
      <c r="AJ596" s="3128"/>
      <c r="AK596" s="3128"/>
      <c r="AL596" s="3129"/>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30" t="s">
        <v>1743</v>
      </c>
      <c r="G599" s="3130"/>
      <c r="H599" s="3130"/>
      <c r="I599" s="3130"/>
      <c r="J599" s="3130"/>
      <c r="K599" s="3130"/>
      <c r="L599" s="3130"/>
      <c r="M599" s="3130"/>
      <c r="N599" s="3130"/>
      <c r="O599" s="3130"/>
      <c r="P599" s="3130"/>
      <c r="Q599" s="3130"/>
      <c r="R599" s="3130"/>
      <c r="S599" s="3130"/>
      <c r="T599" s="3130"/>
      <c r="U599" s="3130"/>
      <c r="V599" s="3130"/>
      <c r="W599" s="3130"/>
      <c r="X599" s="3130"/>
      <c r="Y599" s="3130"/>
      <c r="Z599" s="3130"/>
      <c r="AA599" s="3130"/>
      <c r="AB599" s="3130"/>
      <c r="AC599" s="3130"/>
      <c r="AD599" s="3130"/>
      <c r="AE599" s="3130"/>
      <c r="AF599" s="3130"/>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1"/>
      <c r="G600" s="3131"/>
      <c r="H600" s="3131"/>
      <c r="I600" s="3131"/>
      <c r="J600" s="3131"/>
      <c r="K600" s="3131"/>
      <c r="L600" s="3131"/>
      <c r="M600" s="3131"/>
      <c r="N600" s="3131"/>
      <c r="O600" s="3131"/>
      <c r="P600" s="3131"/>
      <c r="Q600" s="3131"/>
      <c r="R600" s="3131"/>
      <c r="S600" s="3131"/>
      <c r="T600" s="3131"/>
      <c r="U600" s="3131"/>
      <c r="V600" s="3131"/>
      <c r="W600" s="3131"/>
      <c r="X600" s="3131"/>
      <c r="Y600" s="3131"/>
      <c r="Z600" s="3131"/>
      <c r="AA600" s="3131"/>
      <c r="AB600" s="3131"/>
      <c r="AC600" s="3131"/>
      <c r="AD600" s="3131"/>
      <c r="AE600" s="3131"/>
      <c r="AF600" s="3131"/>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1"/>
      <c r="G601" s="3131"/>
      <c r="H601" s="3131"/>
      <c r="I601" s="3131"/>
      <c r="J601" s="3131"/>
      <c r="K601" s="3131"/>
      <c r="L601" s="3131"/>
      <c r="M601" s="3131"/>
      <c r="N601" s="3131"/>
      <c r="O601" s="3131"/>
      <c r="P601" s="3131"/>
      <c r="Q601" s="3131"/>
      <c r="R601" s="3131"/>
      <c r="S601" s="3131"/>
      <c r="T601" s="3131"/>
      <c r="U601" s="3131"/>
      <c r="V601" s="3131"/>
      <c r="W601" s="3131"/>
      <c r="X601" s="3131"/>
      <c r="Y601" s="3131"/>
      <c r="Z601" s="3131"/>
      <c r="AA601" s="3131"/>
      <c r="AB601" s="3131"/>
      <c r="AC601" s="3131"/>
      <c r="AD601" s="3131"/>
      <c r="AE601" s="3131"/>
      <c r="AF601" s="3131"/>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1"/>
      <c r="G602" s="3131"/>
      <c r="H602" s="3131"/>
      <c r="I602" s="3131"/>
      <c r="J602" s="3131"/>
      <c r="K602" s="3131"/>
      <c r="L602" s="3131"/>
      <c r="M602" s="3131"/>
      <c r="N602" s="3131"/>
      <c r="O602" s="3131"/>
      <c r="P602" s="3131"/>
      <c r="Q602" s="3131"/>
      <c r="R602" s="3131"/>
      <c r="S602" s="3131"/>
      <c r="T602" s="3131"/>
      <c r="U602" s="3131"/>
      <c r="V602" s="3131"/>
      <c r="W602" s="3131"/>
      <c r="X602" s="3131"/>
      <c r="Y602" s="3131"/>
      <c r="Z602" s="3131"/>
      <c r="AA602" s="3131"/>
      <c r="AB602" s="3131"/>
      <c r="AC602" s="3131"/>
      <c r="AD602" s="3131"/>
      <c r="AE602" s="3131"/>
      <c r="AF602" s="3131"/>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1"/>
      <c r="G603" s="3131"/>
      <c r="H603" s="3131"/>
      <c r="I603" s="3131"/>
      <c r="J603" s="3131"/>
      <c r="K603" s="3131"/>
      <c r="L603" s="3131"/>
      <c r="M603" s="3131"/>
      <c r="N603" s="3131"/>
      <c r="O603" s="3131"/>
      <c r="P603" s="3131"/>
      <c r="Q603" s="3131"/>
      <c r="R603" s="3131"/>
      <c r="S603" s="3131"/>
      <c r="T603" s="3131"/>
      <c r="U603" s="3131"/>
      <c r="V603" s="3131"/>
      <c r="W603" s="3131"/>
      <c r="X603" s="3131"/>
      <c r="Y603" s="3131"/>
      <c r="Z603" s="3131"/>
      <c r="AA603" s="3131"/>
      <c r="AB603" s="3131"/>
      <c r="AC603" s="3131"/>
      <c r="AD603" s="3131"/>
      <c r="AE603" s="3131"/>
      <c r="AF603" s="3131"/>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27" t="s">
        <v>626</v>
      </c>
      <c r="D604" s="3075"/>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28" t="s">
        <v>1742</v>
      </c>
      <c r="AG604" s="3128"/>
      <c r="AH604" s="3128"/>
      <c r="AI604" s="3128"/>
      <c r="AJ604" s="3128"/>
      <c r="AK604" s="3128"/>
      <c r="AL604" s="3129"/>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30" t="s">
        <v>1745</v>
      </c>
      <c r="G607" s="3130"/>
      <c r="H607" s="3130"/>
      <c r="I607" s="3130"/>
      <c r="J607" s="3130"/>
      <c r="K607" s="3130"/>
      <c r="L607" s="3130"/>
      <c r="M607" s="3130"/>
      <c r="N607" s="3130"/>
      <c r="O607" s="3130"/>
      <c r="P607" s="3130"/>
      <c r="Q607" s="3130"/>
      <c r="R607" s="3130"/>
      <c r="S607" s="3130"/>
      <c r="T607" s="3130"/>
      <c r="U607" s="3130"/>
      <c r="V607" s="3130"/>
      <c r="W607" s="3130"/>
      <c r="X607" s="3130"/>
      <c r="Y607" s="3130"/>
      <c r="Z607" s="3130"/>
      <c r="AA607" s="3130"/>
      <c r="AB607" s="3130"/>
      <c r="AC607" s="3130"/>
      <c r="AD607" s="3130"/>
      <c r="AE607" s="3130"/>
      <c r="AF607" s="3130"/>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1"/>
      <c r="G608" s="3131"/>
      <c r="H608" s="3131"/>
      <c r="I608" s="3131"/>
      <c r="J608" s="3131"/>
      <c r="K608" s="3131"/>
      <c r="L608" s="3131"/>
      <c r="M608" s="3131"/>
      <c r="N608" s="3131"/>
      <c r="O608" s="3131"/>
      <c r="P608" s="3131"/>
      <c r="Q608" s="3131"/>
      <c r="R608" s="3131"/>
      <c r="S608" s="3131"/>
      <c r="T608" s="3131"/>
      <c r="U608" s="3131"/>
      <c r="V608" s="3131"/>
      <c r="W608" s="3131"/>
      <c r="X608" s="3131"/>
      <c r="Y608" s="3131"/>
      <c r="Z608" s="3131"/>
      <c r="AA608" s="3131"/>
      <c r="AB608" s="3131"/>
      <c r="AC608" s="3131"/>
      <c r="AD608" s="3131"/>
      <c r="AE608" s="3131"/>
      <c r="AF608" s="3131"/>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1"/>
      <c r="G609" s="3131"/>
      <c r="H609" s="3131"/>
      <c r="I609" s="3131"/>
      <c r="J609" s="3131"/>
      <c r="K609" s="3131"/>
      <c r="L609" s="3131"/>
      <c r="M609" s="3131"/>
      <c r="N609" s="3131"/>
      <c r="O609" s="3131"/>
      <c r="P609" s="3131"/>
      <c r="Q609" s="3131"/>
      <c r="R609" s="3131"/>
      <c r="S609" s="3131"/>
      <c r="T609" s="3131"/>
      <c r="U609" s="3131"/>
      <c r="V609" s="3131"/>
      <c r="W609" s="3131"/>
      <c r="X609" s="3131"/>
      <c r="Y609" s="3131"/>
      <c r="Z609" s="3131"/>
      <c r="AA609" s="3131"/>
      <c r="AB609" s="3131"/>
      <c r="AC609" s="3131"/>
      <c r="AD609" s="3131"/>
      <c r="AE609" s="3131"/>
      <c r="AF609" s="3131"/>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1"/>
      <c r="G610" s="3131"/>
      <c r="H610" s="3131"/>
      <c r="I610" s="3131"/>
      <c r="J610" s="3131"/>
      <c r="K610" s="3131"/>
      <c r="L610" s="3131"/>
      <c r="M610" s="3131"/>
      <c r="N610" s="3131"/>
      <c r="O610" s="3131"/>
      <c r="P610" s="3131"/>
      <c r="Q610" s="3131"/>
      <c r="R610" s="3131"/>
      <c r="S610" s="3131"/>
      <c r="T610" s="3131"/>
      <c r="U610" s="3131"/>
      <c r="V610" s="3131"/>
      <c r="W610" s="3131"/>
      <c r="X610" s="3131"/>
      <c r="Y610" s="3131"/>
      <c r="Z610" s="3131"/>
      <c r="AA610" s="3131"/>
      <c r="AB610" s="3131"/>
      <c r="AC610" s="3131"/>
      <c r="AD610" s="3131"/>
      <c r="AE610" s="3131"/>
      <c r="AF610" s="3131"/>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1"/>
      <c r="G611" s="3131"/>
      <c r="H611" s="3131"/>
      <c r="I611" s="3131"/>
      <c r="J611" s="3131"/>
      <c r="K611" s="3131"/>
      <c r="L611" s="3131"/>
      <c r="M611" s="3131"/>
      <c r="N611" s="3131"/>
      <c r="O611" s="3131"/>
      <c r="P611" s="3131"/>
      <c r="Q611" s="3131"/>
      <c r="R611" s="3131"/>
      <c r="S611" s="3131"/>
      <c r="T611" s="3131"/>
      <c r="U611" s="3131"/>
      <c r="V611" s="3131"/>
      <c r="W611" s="3131"/>
      <c r="X611" s="3131"/>
      <c r="Y611" s="3131"/>
      <c r="Z611" s="3131"/>
      <c r="AA611" s="3131"/>
      <c r="AB611" s="3131"/>
      <c r="AC611" s="3131"/>
      <c r="AD611" s="3131"/>
      <c r="AE611" s="3131"/>
      <c r="AF611" s="3131"/>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27" t="s">
        <v>626</v>
      </c>
      <c r="D612" s="3075"/>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28" t="s">
        <v>1747</v>
      </c>
      <c r="AG612" s="3128"/>
      <c r="AH612" s="3128"/>
      <c r="AI612" s="3128"/>
      <c r="AJ612" s="3128"/>
      <c r="AK612" s="3128"/>
      <c r="AL612" s="3129"/>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27" t="s">
        <v>578</v>
      </c>
      <c r="D614" s="3075"/>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28" t="s">
        <v>1742</v>
      </c>
      <c r="AG614" s="3128"/>
      <c r="AH614" s="3128"/>
      <c r="AI614" s="3128"/>
      <c r="AJ614" s="3128"/>
      <c r="AK614" s="3128"/>
      <c r="AL614" s="3129"/>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30" t="s">
        <v>1751</v>
      </c>
      <c r="G618" s="3130"/>
      <c r="H618" s="3130"/>
      <c r="I618" s="3130"/>
      <c r="J618" s="3130"/>
      <c r="K618" s="3130"/>
      <c r="L618" s="3130"/>
      <c r="M618" s="3130"/>
      <c r="N618" s="3130"/>
      <c r="O618" s="3130"/>
      <c r="P618" s="3130"/>
      <c r="Q618" s="3130"/>
      <c r="R618" s="3130"/>
      <c r="S618" s="3130"/>
      <c r="T618" s="3130"/>
      <c r="U618" s="3130"/>
      <c r="V618" s="3130"/>
      <c r="W618" s="3130"/>
      <c r="X618" s="3130"/>
      <c r="Y618" s="3130"/>
      <c r="Z618" s="3130"/>
      <c r="AA618" s="3130"/>
      <c r="AB618" s="3130"/>
      <c r="AC618" s="3130"/>
      <c r="AD618" s="3130"/>
      <c r="AE618" s="3130"/>
      <c r="AF618" s="3130"/>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1"/>
      <c r="G619" s="3131"/>
      <c r="H619" s="3131"/>
      <c r="I619" s="3131"/>
      <c r="J619" s="3131"/>
      <c r="K619" s="3131"/>
      <c r="L619" s="3131"/>
      <c r="M619" s="3131"/>
      <c r="N619" s="3131"/>
      <c r="O619" s="3131"/>
      <c r="P619" s="3131"/>
      <c r="Q619" s="3131"/>
      <c r="R619" s="3131"/>
      <c r="S619" s="3131"/>
      <c r="T619" s="3131"/>
      <c r="U619" s="3131"/>
      <c r="V619" s="3131"/>
      <c r="W619" s="3131"/>
      <c r="X619" s="3131"/>
      <c r="Y619" s="3131"/>
      <c r="Z619" s="3131"/>
      <c r="AA619" s="3131"/>
      <c r="AB619" s="3131"/>
      <c r="AC619" s="3131"/>
      <c r="AD619" s="3131"/>
      <c r="AE619" s="3131"/>
      <c r="AF619" s="3131"/>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131"/>
      <c r="G620" s="3131"/>
      <c r="H620" s="3131"/>
      <c r="I620" s="3131"/>
      <c r="J620" s="3131"/>
      <c r="K620" s="3131"/>
      <c r="L620" s="3131"/>
      <c r="M620" s="3131"/>
      <c r="N620" s="3131"/>
      <c r="O620" s="3131"/>
      <c r="P620" s="3131"/>
      <c r="Q620" s="3131"/>
      <c r="R620" s="3131"/>
      <c r="S620" s="3131"/>
      <c r="T620" s="3131"/>
      <c r="U620" s="3131"/>
      <c r="V620" s="3131"/>
      <c r="W620" s="3131"/>
      <c r="X620" s="3131"/>
      <c r="Y620" s="3131"/>
      <c r="Z620" s="3131"/>
      <c r="AA620" s="3131"/>
      <c r="AB620" s="3131"/>
      <c r="AC620" s="3131"/>
      <c r="AD620" s="3131"/>
      <c r="AE620" s="3131"/>
      <c r="AF620" s="3131"/>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1"/>
      <c r="G621" s="3131"/>
      <c r="H621" s="3131"/>
      <c r="I621" s="3131"/>
      <c r="J621" s="3131"/>
      <c r="K621" s="3131"/>
      <c r="L621" s="3131"/>
      <c r="M621" s="3131"/>
      <c r="N621" s="3131"/>
      <c r="O621" s="3131"/>
      <c r="P621" s="3131"/>
      <c r="Q621" s="3131"/>
      <c r="R621" s="3131"/>
      <c r="S621" s="3131"/>
      <c r="T621" s="3131"/>
      <c r="U621" s="3131"/>
      <c r="V621" s="3131"/>
      <c r="W621" s="3131"/>
      <c r="X621" s="3131"/>
      <c r="Y621" s="3131"/>
      <c r="Z621" s="3131"/>
      <c r="AA621" s="3131"/>
      <c r="AB621" s="3131"/>
      <c r="AC621" s="3131"/>
      <c r="AD621" s="3131"/>
      <c r="AE621" s="3131"/>
      <c r="AF621" s="3131"/>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27" t="s">
        <v>626</v>
      </c>
      <c r="D622" s="3075"/>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28" t="s">
        <v>1742</v>
      </c>
      <c r="AG622" s="3128"/>
      <c r="AH622" s="3128"/>
      <c r="AI622" s="3128"/>
      <c r="AJ622" s="3128"/>
      <c r="AK622" s="3128"/>
      <c r="AL622" s="3129"/>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27" t="s">
        <v>626</v>
      </c>
      <c r="D624" s="3075"/>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28" t="s">
        <v>1754</v>
      </c>
      <c r="AG624" s="3128"/>
      <c r="AH624" s="3128"/>
      <c r="AI624" s="3128"/>
      <c r="AJ624" s="3128"/>
      <c r="AK624" s="3128"/>
      <c r="AL624" s="3129"/>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27" t="s">
        <v>626</v>
      </c>
      <c r="D627" s="3075"/>
      <c r="E627" s="1170" t="s">
        <v>1755</v>
      </c>
      <c r="F627" s="3130" t="s">
        <v>1756</v>
      </c>
      <c r="G627" s="3130"/>
      <c r="H627" s="3130"/>
      <c r="I627" s="3130"/>
      <c r="J627" s="3130"/>
      <c r="K627" s="3130"/>
      <c r="L627" s="3130"/>
      <c r="M627" s="3130"/>
      <c r="N627" s="3130"/>
      <c r="O627" s="3130"/>
      <c r="P627" s="3130"/>
      <c r="Q627" s="3130"/>
      <c r="R627" s="3130"/>
      <c r="S627" s="3130"/>
      <c r="T627" s="3130"/>
      <c r="U627" s="3130"/>
      <c r="V627" s="3130"/>
      <c r="W627" s="3130"/>
      <c r="X627" s="3130"/>
      <c r="Y627" s="3130"/>
      <c r="Z627" s="3130"/>
      <c r="AA627" s="3130"/>
      <c r="AB627" s="3130"/>
      <c r="AC627" s="3130"/>
      <c r="AD627" s="3130"/>
      <c r="AE627" s="3130"/>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1"/>
      <c r="G628" s="3131"/>
      <c r="H628" s="3131"/>
      <c r="I628" s="3131"/>
      <c r="J628" s="3131"/>
      <c r="K628" s="3131"/>
      <c r="L628" s="3131"/>
      <c r="M628" s="3131"/>
      <c r="N628" s="3131"/>
      <c r="O628" s="3131"/>
      <c r="P628" s="3131"/>
      <c r="Q628" s="3131"/>
      <c r="R628" s="3131"/>
      <c r="S628" s="3131"/>
      <c r="T628" s="3131"/>
      <c r="U628" s="3131"/>
      <c r="V628" s="3131"/>
      <c r="W628" s="3131"/>
      <c r="X628" s="3131"/>
      <c r="Y628" s="3131"/>
      <c r="Z628" s="3131"/>
      <c r="AA628" s="3131"/>
      <c r="AB628" s="3131"/>
      <c r="AC628" s="3131"/>
      <c r="AD628" s="3131"/>
      <c r="AE628" s="3131"/>
      <c r="AF628" s="3136" t="s">
        <v>1742</v>
      </c>
      <c r="AG628" s="3136"/>
      <c r="AH628" s="3136"/>
      <c r="AI628" s="3136"/>
      <c r="AJ628" s="3136"/>
      <c r="AK628" s="3136"/>
      <c r="AL628" s="3137"/>
      <c r="AM628" s="1130"/>
      <c r="AN628" s="996"/>
      <c r="BS628" s="1130"/>
      <c r="BT628" s="1130"/>
      <c r="BY628" s="1130"/>
      <c r="BZ628" s="1130"/>
      <c r="CA628" s="1130"/>
      <c r="CB628" s="1130"/>
      <c r="CC628" s="1130"/>
    </row>
    <row r="629" spans="1:81" s="939" customFormat="1" ht="12.75" customHeight="1">
      <c r="A629" s="923"/>
      <c r="B629" s="51"/>
      <c r="C629" s="1188"/>
      <c r="D629" s="112"/>
      <c r="E629" s="1142"/>
      <c r="F629" s="3131"/>
      <c r="G629" s="3131"/>
      <c r="H629" s="3131"/>
      <c r="I629" s="3131"/>
      <c r="J629" s="3131"/>
      <c r="K629" s="3131"/>
      <c r="L629" s="3131"/>
      <c r="M629" s="3131"/>
      <c r="N629" s="3131"/>
      <c r="O629" s="3131"/>
      <c r="P629" s="3131"/>
      <c r="Q629" s="3131"/>
      <c r="R629" s="3131"/>
      <c r="S629" s="3131"/>
      <c r="T629" s="3131"/>
      <c r="U629" s="3131"/>
      <c r="V629" s="3131"/>
      <c r="W629" s="3131"/>
      <c r="X629" s="3131"/>
      <c r="Y629" s="3131"/>
      <c r="Z629" s="3131"/>
      <c r="AA629" s="3131"/>
      <c r="AB629" s="3131"/>
      <c r="AC629" s="3131"/>
      <c r="AD629" s="3131"/>
      <c r="AE629" s="3131"/>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38" t="s">
        <v>1758</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07"/>
      <c r="AG632" s="1207"/>
      <c r="AH632" s="1207"/>
      <c r="AI632" s="1207"/>
      <c r="AJ632" s="1207"/>
      <c r="AK632" s="1207"/>
      <c r="AL632" s="1208"/>
      <c r="AM632" s="1130"/>
    </row>
    <row r="633" spans="1:81" ht="13.1">
      <c r="A633" s="923"/>
      <c r="C633" s="1188"/>
      <c r="D633" s="112"/>
      <c r="E633" s="1142"/>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09"/>
      <c r="AG633" s="987"/>
      <c r="AH633" s="1021"/>
      <c r="AI633" s="1021"/>
      <c r="AJ633" s="1021"/>
      <c r="AK633" s="1021"/>
      <c r="AL633" s="1189"/>
      <c r="AM633" s="1130"/>
    </row>
    <row r="634" spans="1:81" s="939" customFormat="1" ht="12.75" customHeight="1">
      <c r="A634" s="923"/>
      <c r="B634" s="51"/>
      <c r="C634" s="1188"/>
      <c r="D634" s="112"/>
      <c r="E634" s="1142"/>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1"/>
      <c r="AG634" s="1021"/>
      <c r="AH634" s="1021"/>
      <c r="AI634" s="1021"/>
      <c r="AJ634" s="1021"/>
      <c r="AK634" s="1021"/>
      <c r="AL634" s="1189"/>
      <c r="AM634" s="1130"/>
      <c r="AN634" s="996"/>
    </row>
    <row r="635" spans="1:81" s="939" customFormat="1" ht="12.75" customHeight="1">
      <c r="A635" s="923"/>
      <c r="B635" s="51"/>
      <c r="C635" s="1197"/>
      <c r="D635" s="1021"/>
      <c r="E635" s="1021"/>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1"/>
      <c r="AG635" s="1021"/>
      <c r="AH635" s="1021"/>
      <c r="AI635" s="1021"/>
      <c r="AJ635" s="1021"/>
      <c r="AK635" s="1021"/>
      <c r="AL635" s="1189"/>
      <c r="AM635" s="1130"/>
      <c r="AN635" s="996"/>
    </row>
    <row r="636" spans="1:81" s="939" customFormat="1" ht="12.75" customHeight="1">
      <c r="A636" s="923"/>
      <c r="B636" s="51"/>
      <c r="C636" s="3127" t="s">
        <v>578</v>
      </c>
      <c r="D636" s="3075"/>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6" t="s">
        <v>1742</v>
      </c>
      <c r="AG636" s="3136"/>
      <c r="AH636" s="3136"/>
      <c r="AI636" s="3136"/>
      <c r="AJ636" s="3136"/>
      <c r="AK636" s="3136"/>
      <c r="AL636" s="3137"/>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27" t="s">
        <v>626</v>
      </c>
      <c r="D638" s="3075"/>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6" t="s">
        <v>1754</v>
      </c>
      <c r="AG638" s="3136"/>
      <c r="AH638" s="3136"/>
      <c r="AI638" s="3136"/>
      <c r="AJ638" s="3136"/>
      <c r="AK638" s="3136"/>
      <c r="AL638" s="3137"/>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30" t="s">
        <v>1763</v>
      </c>
      <c r="G642" s="3130"/>
      <c r="H642" s="3130"/>
      <c r="I642" s="3130"/>
      <c r="J642" s="3130"/>
      <c r="K642" s="3130"/>
      <c r="L642" s="3130"/>
      <c r="M642" s="3130"/>
      <c r="N642" s="3130"/>
      <c r="O642" s="3130"/>
      <c r="P642" s="3130"/>
      <c r="Q642" s="3130"/>
      <c r="R642" s="3130"/>
      <c r="S642" s="3130"/>
      <c r="T642" s="3130"/>
      <c r="U642" s="3130"/>
      <c r="V642" s="3130"/>
      <c r="W642" s="3130"/>
      <c r="X642" s="3130"/>
      <c r="Y642" s="3130"/>
      <c r="Z642" s="3130"/>
      <c r="AA642" s="3130"/>
      <c r="AB642" s="3130"/>
      <c r="AC642" s="3130"/>
      <c r="AD642" s="3130"/>
      <c r="AE642" s="3130"/>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1"/>
      <c r="G643" s="3131"/>
      <c r="H643" s="3131"/>
      <c r="I643" s="3131"/>
      <c r="J643" s="3131"/>
      <c r="K643" s="3131"/>
      <c r="L643" s="3131"/>
      <c r="M643" s="3131"/>
      <c r="N643" s="3131"/>
      <c r="O643" s="3131"/>
      <c r="P643" s="3131"/>
      <c r="Q643" s="3131"/>
      <c r="R643" s="3131"/>
      <c r="S643" s="3131"/>
      <c r="T643" s="3131"/>
      <c r="U643" s="3131"/>
      <c r="V643" s="3131"/>
      <c r="W643" s="3131"/>
      <c r="X643" s="3131"/>
      <c r="Y643" s="3131"/>
      <c r="Z643" s="3131"/>
      <c r="AA643" s="3131"/>
      <c r="AB643" s="3131"/>
      <c r="AC643" s="3131"/>
      <c r="AD643" s="3131"/>
      <c r="AE643" s="3131"/>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131"/>
      <c r="G644" s="3131"/>
      <c r="H644" s="3131"/>
      <c r="I644" s="3131"/>
      <c r="J644" s="3131"/>
      <c r="K644" s="3131"/>
      <c r="L644" s="3131"/>
      <c r="M644" s="3131"/>
      <c r="N644" s="3131"/>
      <c r="O644" s="3131"/>
      <c r="P644" s="3131"/>
      <c r="Q644" s="3131"/>
      <c r="R644" s="3131"/>
      <c r="S644" s="3131"/>
      <c r="T644" s="3131"/>
      <c r="U644" s="3131"/>
      <c r="V644" s="3131"/>
      <c r="W644" s="3131"/>
      <c r="X644" s="3131"/>
      <c r="Y644" s="3131"/>
      <c r="Z644" s="3131"/>
      <c r="AA644" s="3131"/>
      <c r="AB644" s="3131"/>
      <c r="AC644" s="3131"/>
      <c r="AD644" s="3131"/>
      <c r="AE644" s="3131"/>
      <c r="AF644" s="1021"/>
      <c r="AG644" s="1021"/>
      <c r="AH644" s="1021"/>
      <c r="AI644" s="1021"/>
      <c r="AJ644" s="1021"/>
      <c r="AK644" s="1021"/>
      <c r="AL644" s="1189"/>
      <c r="AM644" s="1130"/>
      <c r="AN644" s="996"/>
      <c r="AO644" s="1021"/>
      <c r="AP644" s="1021"/>
    </row>
    <row r="645" spans="1:60" s="939" customFormat="1" ht="12.75" customHeight="1">
      <c r="A645" s="923"/>
      <c r="B645" s="51"/>
      <c r="C645" s="3127" t="s">
        <v>626</v>
      </c>
      <c r="D645" s="3075"/>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6" t="s">
        <v>1742</v>
      </c>
      <c r="AG645" s="3136"/>
      <c r="AH645" s="3136"/>
      <c r="AI645" s="3136"/>
      <c r="AJ645" s="3136"/>
      <c r="AK645" s="3136"/>
      <c r="AL645" s="3137"/>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1765</v>
      </c>
      <c r="F648" s="3130" t="s">
        <v>1766</v>
      </c>
      <c r="G648" s="3130"/>
      <c r="H648" s="3130"/>
      <c r="I648" s="3130"/>
      <c r="J648" s="3130"/>
      <c r="K648" s="3130"/>
      <c r="L648" s="3130"/>
      <c r="M648" s="3130"/>
      <c r="N648" s="3130"/>
      <c r="O648" s="3130"/>
      <c r="P648" s="3130"/>
      <c r="Q648" s="3130"/>
      <c r="R648" s="3130"/>
      <c r="S648" s="3130"/>
      <c r="T648" s="3130"/>
      <c r="U648" s="3130"/>
      <c r="V648" s="3130"/>
      <c r="W648" s="3130"/>
      <c r="X648" s="3130"/>
      <c r="Y648" s="3130"/>
      <c r="Z648" s="3130"/>
      <c r="AA648" s="3130"/>
      <c r="AB648" s="3130"/>
      <c r="AC648" s="3130"/>
      <c r="AD648" s="3130"/>
      <c r="AE648" s="3130"/>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131"/>
      <c r="G649" s="3131"/>
      <c r="H649" s="3131"/>
      <c r="I649" s="3131"/>
      <c r="J649" s="3131"/>
      <c r="K649" s="3131"/>
      <c r="L649" s="3131"/>
      <c r="M649" s="3131"/>
      <c r="N649" s="3131"/>
      <c r="O649" s="3131"/>
      <c r="P649" s="3131"/>
      <c r="Q649" s="3131"/>
      <c r="R649" s="3131"/>
      <c r="S649" s="3131"/>
      <c r="T649" s="3131"/>
      <c r="U649" s="3131"/>
      <c r="V649" s="3131"/>
      <c r="W649" s="3131"/>
      <c r="X649" s="3131"/>
      <c r="Y649" s="3131"/>
      <c r="Z649" s="3131"/>
      <c r="AA649" s="3131"/>
      <c r="AB649" s="3131"/>
      <c r="AC649" s="3131"/>
      <c r="AD649" s="3131"/>
      <c r="AE649" s="3131"/>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1"/>
      <c r="G650" s="3131"/>
      <c r="H650" s="3131"/>
      <c r="I650" s="3131"/>
      <c r="J650" s="3131"/>
      <c r="K650" s="3131"/>
      <c r="L650" s="3131"/>
      <c r="M650" s="3131"/>
      <c r="N650" s="3131"/>
      <c r="O650" s="3131"/>
      <c r="P650" s="3131"/>
      <c r="Q650" s="3131"/>
      <c r="R650" s="3131"/>
      <c r="S650" s="3131"/>
      <c r="T650" s="3131"/>
      <c r="U650" s="3131"/>
      <c r="V650" s="3131"/>
      <c r="W650" s="3131"/>
      <c r="X650" s="3131"/>
      <c r="Y650" s="3131"/>
      <c r="Z650" s="3131"/>
      <c r="AA650" s="3131"/>
      <c r="AB650" s="3131"/>
      <c r="AC650" s="3131"/>
      <c r="AD650" s="3131"/>
      <c r="AE650" s="3131"/>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1"/>
      <c r="G651" s="3131"/>
      <c r="H651" s="3131"/>
      <c r="I651" s="3131"/>
      <c r="J651" s="3131"/>
      <c r="K651" s="3131"/>
      <c r="L651" s="3131"/>
      <c r="M651" s="3131"/>
      <c r="N651" s="3131"/>
      <c r="O651" s="3131"/>
      <c r="P651" s="3131"/>
      <c r="Q651" s="3131"/>
      <c r="R651" s="3131"/>
      <c r="S651" s="3131"/>
      <c r="T651" s="3131"/>
      <c r="U651" s="3131"/>
      <c r="V651" s="3131"/>
      <c r="W651" s="3131"/>
      <c r="X651" s="3131"/>
      <c r="Y651" s="3131"/>
      <c r="Z651" s="3131"/>
      <c r="AA651" s="3131"/>
      <c r="AB651" s="3131"/>
      <c r="AC651" s="3131"/>
      <c r="AD651" s="3131"/>
      <c r="AE651" s="3131"/>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1"/>
      <c r="G652" s="3131"/>
      <c r="H652" s="3131"/>
      <c r="I652" s="3131"/>
      <c r="J652" s="3131"/>
      <c r="K652" s="3131"/>
      <c r="L652" s="3131"/>
      <c r="M652" s="3131"/>
      <c r="N652" s="3131"/>
      <c r="O652" s="3131"/>
      <c r="P652" s="3131"/>
      <c r="Q652" s="3131"/>
      <c r="R652" s="3131"/>
      <c r="S652" s="3131"/>
      <c r="T652" s="3131"/>
      <c r="U652" s="3131"/>
      <c r="V652" s="3131"/>
      <c r="W652" s="3131"/>
      <c r="X652" s="3131"/>
      <c r="Y652" s="3131"/>
      <c r="Z652" s="3131"/>
      <c r="AA652" s="3131"/>
      <c r="AB652" s="3131"/>
      <c r="AC652" s="3131"/>
      <c r="AD652" s="3131"/>
      <c r="AE652" s="3131"/>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1"/>
      <c r="G653" s="3131"/>
      <c r="H653" s="3131"/>
      <c r="I653" s="3131"/>
      <c r="J653" s="3131"/>
      <c r="K653" s="3131"/>
      <c r="L653" s="3131"/>
      <c r="M653" s="3131"/>
      <c r="N653" s="3131"/>
      <c r="O653" s="3131"/>
      <c r="P653" s="3131"/>
      <c r="Q653" s="3131"/>
      <c r="R653" s="3131"/>
      <c r="S653" s="3131"/>
      <c r="T653" s="3131"/>
      <c r="U653" s="3131"/>
      <c r="V653" s="3131"/>
      <c r="W653" s="3131"/>
      <c r="X653" s="3131"/>
      <c r="Y653" s="3131"/>
      <c r="Z653" s="3131"/>
      <c r="AA653" s="3131"/>
      <c r="AB653" s="3131"/>
      <c r="AC653" s="3131"/>
      <c r="AD653" s="3131"/>
      <c r="AE653" s="3131"/>
      <c r="AF653" s="1220"/>
      <c r="AG653" s="1220"/>
      <c r="AH653" s="1220"/>
      <c r="AI653" s="1220"/>
      <c r="AJ653" s="1220"/>
      <c r="AK653" s="1220"/>
      <c r="AL653" s="1221"/>
      <c r="AM653" s="1130"/>
      <c r="AN653" s="996"/>
    </row>
    <row r="654" spans="1:60" s="939" customFormat="1" ht="12.75" customHeight="1">
      <c r="A654" s="923"/>
      <c r="B654" s="51"/>
      <c r="C654" s="1222"/>
      <c r="D654" s="1187"/>
      <c r="E654" s="1174"/>
      <c r="F654" s="3131"/>
      <c r="G654" s="3131"/>
      <c r="H654" s="3131"/>
      <c r="I654" s="3131"/>
      <c r="J654" s="3131"/>
      <c r="K654" s="3131"/>
      <c r="L654" s="3131"/>
      <c r="M654" s="3131"/>
      <c r="N654" s="3131"/>
      <c r="O654" s="3131"/>
      <c r="P654" s="3131"/>
      <c r="Q654" s="3131"/>
      <c r="R654" s="3131"/>
      <c r="S654" s="3131"/>
      <c r="T654" s="3131"/>
      <c r="U654" s="3131"/>
      <c r="V654" s="3131"/>
      <c r="W654" s="3131"/>
      <c r="X654" s="3131"/>
      <c r="Y654" s="3131"/>
      <c r="Z654" s="3131"/>
      <c r="AA654" s="3131"/>
      <c r="AB654" s="3131"/>
      <c r="AC654" s="3131"/>
      <c r="AD654" s="3131"/>
      <c r="AE654" s="3131"/>
      <c r="AF654" s="1220"/>
      <c r="AG654" s="1220"/>
      <c r="AH654" s="1220"/>
      <c r="AI654" s="1220"/>
      <c r="AJ654" s="1220"/>
      <c r="AK654" s="1220"/>
      <c r="AL654" s="1221"/>
      <c r="AM654" s="1130"/>
      <c r="AN654" s="996"/>
    </row>
    <row r="655" spans="1:60" s="939" customFormat="1" ht="12.75" customHeight="1">
      <c r="A655" s="923"/>
      <c r="B655" s="51"/>
      <c r="C655" s="1222"/>
      <c r="D655" s="1187"/>
      <c r="E655" s="1174"/>
      <c r="F655" s="3131"/>
      <c r="G655" s="3131"/>
      <c r="H655" s="3131"/>
      <c r="I655" s="3131"/>
      <c r="J655" s="3131"/>
      <c r="K655" s="3131"/>
      <c r="L655" s="3131"/>
      <c r="M655" s="3131"/>
      <c r="N655" s="3131"/>
      <c r="O655" s="3131"/>
      <c r="P655" s="3131"/>
      <c r="Q655" s="3131"/>
      <c r="R655" s="3131"/>
      <c r="S655" s="3131"/>
      <c r="T655" s="3131"/>
      <c r="U655" s="3131"/>
      <c r="V655" s="3131"/>
      <c r="W655" s="3131"/>
      <c r="X655" s="3131"/>
      <c r="Y655" s="3131"/>
      <c r="Z655" s="3131"/>
      <c r="AA655" s="3131"/>
      <c r="AB655" s="3131"/>
      <c r="AC655" s="3131"/>
      <c r="AD655" s="3131"/>
      <c r="AE655" s="3131"/>
      <c r="AF655" s="1220"/>
      <c r="AG655" s="1220"/>
      <c r="AH655" s="1220"/>
      <c r="AI655" s="1220"/>
      <c r="AJ655" s="1220"/>
      <c r="AK655" s="1220"/>
      <c r="AL655" s="1221"/>
      <c r="AM655" s="1130"/>
      <c r="AN655" s="996"/>
    </row>
    <row r="656" spans="1:60" s="939" customFormat="1" ht="17.25" customHeight="1">
      <c r="A656" s="923"/>
      <c r="B656" s="51"/>
      <c r="C656" s="1222"/>
      <c r="D656" s="1187"/>
      <c r="E656" s="1174"/>
      <c r="F656" s="3131"/>
      <c r="G656" s="3131"/>
      <c r="H656" s="3131"/>
      <c r="I656" s="3131"/>
      <c r="J656" s="3131"/>
      <c r="K656" s="3131"/>
      <c r="L656" s="3131"/>
      <c r="M656" s="3131"/>
      <c r="N656" s="3131"/>
      <c r="O656" s="3131"/>
      <c r="P656" s="3131"/>
      <c r="Q656" s="3131"/>
      <c r="R656" s="3131"/>
      <c r="S656" s="3131"/>
      <c r="T656" s="3131"/>
      <c r="U656" s="3131"/>
      <c r="V656" s="3131"/>
      <c r="W656" s="3131"/>
      <c r="X656" s="3131"/>
      <c r="Y656" s="3131"/>
      <c r="Z656" s="3131"/>
      <c r="AA656" s="3131"/>
      <c r="AB656" s="3131"/>
      <c r="AC656" s="3131"/>
      <c r="AD656" s="3131"/>
      <c r="AE656" s="3131"/>
      <c r="AF656" s="1021"/>
      <c r="AG656" s="1021"/>
      <c r="AH656" s="1021"/>
      <c r="AI656" s="1021"/>
      <c r="AJ656" s="1021"/>
      <c r="AK656" s="1021"/>
      <c r="AL656" s="1189"/>
      <c r="AM656" s="1130"/>
      <c r="AN656" s="996"/>
    </row>
    <row r="657" spans="1:54" s="939" customFormat="1" ht="12.75" customHeight="1">
      <c r="A657" s="923"/>
      <c r="B657" s="51"/>
      <c r="C657" s="3127" t="s">
        <v>626</v>
      </c>
      <c r="D657" s="3075"/>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6" t="s">
        <v>1742</v>
      </c>
      <c r="AG657" s="3136"/>
      <c r="AH657" s="3136"/>
      <c r="AI657" s="3136"/>
      <c r="AJ657" s="3136"/>
      <c r="AK657" s="3136"/>
      <c r="AL657" s="3137"/>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30" t="s">
        <v>1769</v>
      </c>
      <c r="G660" s="3130"/>
      <c r="H660" s="3130"/>
      <c r="I660" s="3130"/>
      <c r="J660" s="3130"/>
      <c r="K660" s="3130"/>
      <c r="L660" s="3130"/>
      <c r="M660" s="3130"/>
      <c r="N660" s="3130"/>
      <c r="O660" s="3130"/>
      <c r="P660" s="3130"/>
      <c r="Q660" s="3130"/>
      <c r="R660" s="3130"/>
      <c r="S660" s="3130"/>
      <c r="T660" s="3130"/>
      <c r="U660" s="3130"/>
      <c r="V660" s="3130"/>
      <c r="W660" s="3130"/>
      <c r="X660" s="3130"/>
      <c r="Y660" s="3130"/>
      <c r="Z660" s="3130"/>
      <c r="AA660" s="3130"/>
      <c r="AB660" s="3130"/>
      <c r="AC660" s="3130"/>
      <c r="AD660" s="3130"/>
      <c r="AE660" s="3130"/>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1"/>
      <c r="G661" s="3131"/>
      <c r="H661" s="3131"/>
      <c r="I661" s="3131"/>
      <c r="J661" s="3131"/>
      <c r="K661" s="3131"/>
      <c r="L661" s="3131"/>
      <c r="M661" s="3131"/>
      <c r="N661" s="3131"/>
      <c r="O661" s="3131"/>
      <c r="P661" s="3131"/>
      <c r="Q661" s="3131"/>
      <c r="R661" s="3131"/>
      <c r="S661" s="3131"/>
      <c r="T661" s="3131"/>
      <c r="U661" s="3131"/>
      <c r="V661" s="3131"/>
      <c r="W661" s="3131"/>
      <c r="X661" s="3131"/>
      <c r="Y661" s="3131"/>
      <c r="Z661" s="3131"/>
      <c r="AA661" s="3131"/>
      <c r="AB661" s="3131"/>
      <c r="AC661" s="3131"/>
      <c r="AD661" s="3131"/>
      <c r="AE661" s="3131"/>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31"/>
      <c r="G662" s="3131"/>
      <c r="H662" s="3131"/>
      <c r="I662" s="3131"/>
      <c r="J662" s="3131"/>
      <c r="K662" s="3131"/>
      <c r="L662" s="3131"/>
      <c r="M662" s="3131"/>
      <c r="N662" s="3131"/>
      <c r="O662" s="3131"/>
      <c r="P662" s="3131"/>
      <c r="Q662" s="3131"/>
      <c r="R662" s="3131"/>
      <c r="S662" s="3131"/>
      <c r="T662" s="3131"/>
      <c r="U662" s="3131"/>
      <c r="V662" s="3131"/>
      <c r="W662" s="3131"/>
      <c r="X662" s="3131"/>
      <c r="Y662" s="3131"/>
      <c r="Z662" s="3131"/>
      <c r="AA662" s="3131"/>
      <c r="AB662" s="3131"/>
      <c r="AC662" s="3131"/>
      <c r="AD662" s="3131"/>
      <c r="AE662" s="3131"/>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31"/>
      <c r="G663" s="3131"/>
      <c r="H663" s="3131"/>
      <c r="I663" s="3131"/>
      <c r="J663" s="3131"/>
      <c r="K663" s="3131"/>
      <c r="L663" s="3131"/>
      <c r="M663" s="3131"/>
      <c r="N663" s="3131"/>
      <c r="O663" s="3131"/>
      <c r="P663" s="3131"/>
      <c r="Q663" s="3131"/>
      <c r="R663" s="3131"/>
      <c r="S663" s="3131"/>
      <c r="T663" s="3131"/>
      <c r="U663" s="3131"/>
      <c r="V663" s="3131"/>
      <c r="W663" s="3131"/>
      <c r="X663" s="3131"/>
      <c r="Y663" s="3131"/>
      <c r="Z663" s="3131"/>
      <c r="AA663" s="3131"/>
      <c r="AB663" s="3131"/>
      <c r="AC663" s="3131"/>
      <c r="AD663" s="3131"/>
      <c r="AE663" s="3131"/>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27" t="s">
        <v>626</v>
      </c>
      <c r="D664" s="3075"/>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6" t="s">
        <v>1742</v>
      </c>
      <c r="AG664" s="3136"/>
      <c r="AH664" s="3136"/>
      <c r="AI664" s="3136"/>
      <c r="AJ664" s="3136"/>
      <c r="AK664" s="3136"/>
      <c r="AL664" s="3137"/>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0" t="s">
        <v>626</v>
      </c>
      <c r="D668" s="3141"/>
      <c r="E668" s="1170" t="s">
        <v>1778</v>
      </c>
      <c r="F668" s="3130" t="s">
        <v>1779</v>
      </c>
      <c r="G668" s="3130"/>
      <c r="H668" s="3130"/>
      <c r="I668" s="3130"/>
      <c r="J668" s="3130"/>
      <c r="K668" s="3130"/>
      <c r="L668" s="3130"/>
      <c r="M668" s="3130"/>
      <c r="N668" s="3130"/>
      <c r="O668" s="3130"/>
      <c r="P668" s="3130"/>
      <c r="Q668" s="3130"/>
      <c r="R668" s="3130"/>
      <c r="S668" s="3130"/>
      <c r="T668" s="3130"/>
      <c r="U668" s="3130"/>
      <c r="V668" s="3130"/>
      <c r="W668" s="3130"/>
      <c r="X668" s="3130"/>
      <c r="Y668" s="3130"/>
      <c r="Z668" s="3130"/>
      <c r="AA668" s="3130"/>
      <c r="AB668" s="3130"/>
      <c r="AC668" s="3130"/>
      <c r="AD668" s="3130"/>
      <c r="AE668" s="3130"/>
      <c r="AF668" s="3142" t="s">
        <v>1742</v>
      </c>
      <c r="AG668" s="3142"/>
      <c r="AH668" s="3142"/>
      <c r="AI668" s="3142"/>
      <c r="AJ668" s="3142"/>
      <c r="AK668" s="3142"/>
      <c r="AL668" s="3143"/>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1"/>
      <c r="G669" s="3131"/>
      <c r="H669" s="3131"/>
      <c r="I669" s="3131"/>
      <c r="J669" s="3131"/>
      <c r="K669" s="3131"/>
      <c r="L669" s="3131"/>
      <c r="M669" s="3131"/>
      <c r="N669" s="3131"/>
      <c r="O669" s="3131"/>
      <c r="P669" s="3131"/>
      <c r="Q669" s="3131"/>
      <c r="R669" s="3131"/>
      <c r="S669" s="3131"/>
      <c r="T669" s="3131"/>
      <c r="U669" s="3131"/>
      <c r="V669" s="3131"/>
      <c r="W669" s="3131"/>
      <c r="X669" s="3131"/>
      <c r="Y669" s="3131"/>
      <c r="Z669" s="3131"/>
      <c r="AA669" s="3131"/>
      <c r="AB669" s="3131"/>
      <c r="AC669" s="3131"/>
      <c r="AD669" s="3131"/>
      <c r="AE669" s="3131"/>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27" t="s">
        <v>626</v>
      </c>
      <c r="D672" s="3075"/>
      <c r="E672" s="1170" t="s">
        <v>1784</v>
      </c>
      <c r="F672" s="3130" t="s">
        <v>1785</v>
      </c>
      <c r="G672" s="3130"/>
      <c r="H672" s="3130"/>
      <c r="I672" s="3130"/>
      <c r="J672" s="3130"/>
      <c r="K672" s="3130"/>
      <c r="L672" s="3130"/>
      <c r="M672" s="3130"/>
      <c r="N672" s="3130"/>
      <c r="O672" s="3130"/>
      <c r="P672" s="3130"/>
      <c r="Q672" s="3130"/>
      <c r="R672" s="3130"/>
      <c r="S672" s="3130"/>
      <c r="T672" s="3130"/>
      <c r="U672" s="3130"/>
      <c r="V672" s="3130"/>
      <c r="W672" s="3130"/>
      <c r="X672" s="3130"/>
      <c r="Y672" s="3130"/>
      <c r="Z672" s="3130"/>
      <c r="AA672" s="3130"/>
      <c r="AB672" s="3130"/>
      <c r="AC672" s="3130"/>
      <c r="AD672" s="3130"/>
      <c r="AE672" s="3130"/>
      <c r="AF672" s="3142" t="s">
        <v>1742</v>
      </c>
      <c r="AG672" s="3142"/>
      <c r="AH672" s="3142"/>
      <c r="AI672" s="3142"/>
      <c r="AJ672" s="3142"/>
      <c r="AK672" s="3142"/>
      <c r="AL672" s="3143"/>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31"/>
      <c r="G673" s="3131"/>
      <c r="H673" s="3131"/>
      <c r="I673" s="3131"/>
      <c r="J673" s="3131"/>
      <c r="K673" s="3131"/>
      <c r="L673" s="3131"/>
      <c r="M673" s="3131"/>
      <c r="N673" s="3131"/>
      <c r="O673" s="3131"/>
      <c r="P673" s="3131"/>
      <c r="Q673" s="3131"/>
      <c r="R673" s="3131"/>
      <c r="S673" s="3131"/>
      <c r="T673" s="3131"/>
      <c r="U673" s="3131"/>
      <c r="V673" s="3131"/>
      <c r="W673" s="3131"/>
      <c r="X673" s="3131"/>
      <c r="Y673" s="3131"/>
      <c r="Z673" s="3131"/>
      <c r="AA673" s="3131"/>
      <c r="AB673" s="3131"/>
      <c r="AC673" s="3131"/>
      <c r="AD673" s="3131"/>
      <c r="AE673" s="3131"/>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1"/>
      <c r="G674" s="3131"/>
      <c r="H674" s="3131"/>
      <c r="I674" s="3131"/>
      <c r="J674" s="3131"/>
      <c r="K674" s="3131"/>
      <c r="L674" s="3131"/>
      <c r="M674" s="3131"/>
      <c r="N674" s="3131"/>
      <c r="O674" s="3131"/>
      <c r="P674" s="3131"/>
      <c r="Q674" s="3131"/>
      <c r="R674" s="3131"/>
      <c r="S674" s="3131"/>
      <c r="T674" s="3131"/>
      <c r="U674" s="3131"/>
      <c r="V674" s="3131"/>
      <c r="W674" s="3131"/>
      <c r="X674" s="3131"/>
      <c r="Y674" s="3131"/>
      <c r="Z674" s="3131"/>
      <c r="AA674" s="3131"/>
      <c r="AB674" s="3131"/>
      <c r="AC674" s="3131"/>
      <c r="AD674" s="3131"/>
      <c r="AE674" s="3131"/>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38" t="s">
        <v>1788</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4"/>
      <c r="AH677" s="1169"/>
      <c r="AI677" s="1169"/>
      <c r="AJ677" s="1169"/>
      <c r="AK677" s="1169"/>
      <c r="AL677" s="1205"/>
      <c r="AM677" s="1130"/>
      <c r="AN677" s="996"/>
    </row>
    <row r="678" spans="1:54" s="939" customFormat="1" ht="12.75" customHeight="1">
      <c r="A678" s="923"/>
      <c r="B678" s="51"/>
      <c r="C678" s="1188"/>
      <c r="D678" s="112"/>
      <c r="E678" s="1142"/>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1"/>
      <c r="AH678" s="1021"/>
      <c r="AI678" s="1021"/>
      <c r="AJ678" s="1021"/>
      <c r="AK678" s="1021"/>
      <c r="AL678" s="1189"/>
      <c r="AM678" s="1130"/>
      <c r="AN678" s="996"/>
    </row>
    <row r="679" spans="1:54" s="939" customFormat="1" ht="12.75" customHeight="1">
      <c r="A679" s="923"/>
      <c r="B679" s="51"/>
      <c r="C679" s="1197"/>
      <c r="D679" s="1021"/>
      <c r="E679" s="1021"/>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1"/>
      <c r="AH679" s="1021"/>
      <c r="AI679" s="1021"/>
      <c r="AJ679" s="1021"/>
      <c r="AK679" s="1021"/>
      <c r="AL679" s="1189"/>
      <c r="AM679" s="1130"/>
      <c r="AN679" s="996"/>
    </row>
    <row r="680" spans="1:54" s="939" customFormat="1" ht="12.75" customHeight="1">
      <c r="A680" s="923"/>
      <c r="B680" s="51"/>
      <c r="C680" s="1197"/>
      <c r="D680" s="1021"/>
      <c r="E680" s="1021"/>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1"/>
      <c r="AH680" s="1021"/>
      <c r="AI680" s="1021"/>
      <c r="AJ680" s="1021"/>
      <c r="AK680" s="1021"/>
      <c r="AL680" s="1189"/>
      <c r="AM680" s="1130"/>
      <c r="AN680" s="996"/>
    </row>
    <row r="681" spans="1:54" s="939" customFormat="1" ht="12.75" customHeight="1">
      <c r="A681" s="923"/>
      <c r="B681" s="51"/>
      <c r="C681" s="3127" t="s">
        <v>626</v>
      </c>
      <c r="D681" s="3075"/>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28" t="s">
        <v>1742</v>
      </c>
      <c r="AG681" s="3128"/>
      <c r="AH681" s="3128"/>
      <c r="AI681" s="3128"/>
      <c r="AJ681" s="3128"/>
      <c r="AK681" s="3128"/>
      <c r="AL681" s="3129"/>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78">
        <f>IF(Application!D213="N/A",AS573,AS575)</f>
        <v>10</v>
      </c>
      <c r="AL684" s="3079"/>
      <c r="AM684" s="3080"/>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4" t="s">
        <v>1792</v>
      </c>
      <c r="AF687" s="3194"/>
      <c r="AG687" s="3194"/>
      <c r="AH687" s="3194"/>
      <c r="AI687" s="3194"/>
      <c r="AJ687" s="3194"/>
      <c r="AK687" s="3194"/>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44" t="s">
        <v>626</v>
      </c>
      <c r="D693" s="3145"/>
      <c r="E693" s="1244" t="s">
        <v>540</v>
      </c>
      <c r="F693" s="3146" t="s">
        <v>1798</v>
      </c>
      <c r="G693" s="3146"/>
      <c r="H693" s="3146"/>
      <c r="I693" s="3146"/>
      <c r="J693" s="3146"/>
      <c r="K693" s="3146"/>
      <c r="L693" s="3146"/>
      <c r="M693" s="3146"/>
      <c r="N693" s="3146"/>
      <c r="O693" s="3146"/>
      <c r="P693" s="3146"/>
      <c r="Q693" s="3146"/>
      <c r="R693" s="3146"/>
      <c r="S693" s="3146"/>
      <c r="T693" s="3146"/>
      <c r="U693" s="3146"/>
      <c r="V693" s="3146"/>
      <c r="W693" s="3146"/>
      <c r="X693" s="3146"/>
      <c r="Y693" s="3146"/>
      <c r="Z693" s="3146"/>
      <c r="AA693" s="3146"/>
      <c r="AB693" s="3146"/>
      <c r="AC693" s="3146"/>
      <c r="AD693" s="3146"/>
      <c r="AE693" s="3146"/>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47"/>
      <c r="G694" s="3147"/>
      <c r="H694" s="3147"/>
      <c r="I694" s="3147"/>
      <c r="J694" s="3147"/>
      <c r="K694" s="3147"/>
      <c r="L694" s="3147"/>
      <c r="M694" s="3147"/>
      <c r="N694" s="3147"/>
      <c r="O694" s="3147"/>
      <c r="P694" s="3147"/>
      <c r="Q694" s="3147"/>
      <c r="R694" s="3147"/>
      <c r="S694" s="3147"/>
      <c r="T694" s="3147"/>
      <c r="U694" s="3147"/>
      <c r="V694" s="3147"/>
      <c r="W694" s="3147"/>
      <c r="X694" s="3147"/>
      <c r="Y694" s="3147"/>
      <c r="Z694" s="3147"/>
      <c r="AA694" s="3147"/>
      <c r="AB694" s="3147"/>
      <c r="AC694" s="3147"/>
      <c r="AD694" s="3147"/>
      <c r="AE694" s="3147"/>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48" t="s">
        <v>626</v>
      </c>
      <c r="G695" s="3148"/>
      <c r="H695" s="3148"/>
      <c r="I695" s="3148"/>
      <c r="J695" s="3148"/>
      <c r="K695" s="3148"/>
      <c r="L695" s="3148"/>
      <c r="M695" s="3148"/>
      <c r="N695" s="3148"/>
      <c r="O695" s="3148"/>
      <c r="P695" s="3148"/>
      <c r="Q695" s="3148"/>
      <c r="R695" s="3148"/>
      <c r="S695" s="3148"/>
      <c r="T695" s="3148"/>
      <c r="U695" s="3148"/>
      <c r="V695" s="3148"/>
      <c r="W695" s="3148"/>
      <c r="X695" s="3148"/>
      <c r="Y695" s="3148"/>
      <c r="Z695" s="3148"/>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49" t="s">
        <v>578</v>
      </c>
      <c r="D697" s="3150"/>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56" t="s">
        <v>626</v>
      </c>
      <c r="W700" s="3156"/>
      <c r="X700" s="3156"/>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56" t="s">
        <v>626</v>
      </c>
      <c r="W702" s="3156"/>
      <c r="X702" s="3156"/>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56" t="s">
        <v>626</v>
      </c>
      <c r="W707" s="3156"/>
      <c r="X707" s="3156"/>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55"/>
      <c r="E710" s="3155"/>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56" t="s">
        <v>626</v>
      </c>
      <c r="W711" s="3156"/>
      <c r="X711" s="3156"/>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56" t="s">
        <v>626</v>
      </c>
      <c r="W713" s="3156"/>
      <c r="X713" s="3156"/>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4" t="s">
        <v>626</v>
      </c>
      <c r="D716" s="3145"/>
      <c r="E716" s="1244" t="s">
        <v>540</v>
      </c>
      <c r="F716" s="3146" t="s">
        <v>1798</v>
      </c>
      <c r="G716" s="3146"/>
      <c r="H716" s="3146"/>
      <c r="I716" s="3146"/>
      <c r="J716" s="3146"/>
      <c r="K716" s="3146"/>
      <c r="L716" s="3146"/>
      <c r="M716" s="3146"/>
      <c r="N716" s="3146"/>
      <c r="O716" s="3146"/>
      <c r="P716" s="3146"/>
      <c r="Q716" s="3146"/>
      <c r="R716" s="3146"/>
      <c r="S716" s="3146"/>
      <c r="T716" s="3146"/>
      <c r="U716" s="3146"/>
      <c r="V716" s="3146"/>
      <c r="W716" s="3146"/>
      <c r="X716" s="3146"/>
      <c r="Y716" s="3146"/>
      <c r="Z716" s="3146"/>
      <c r="AA716" s="3146"/>
      <c r="AB716" s="3146"/>
      <c r="AC716" s="3146"/>
      <c r="AD716" s="3146"/>
      <c r="AE716" s="3146"/>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3147"/>
      <c r="AD717" s="3147"/>
      <c r="AE717" s="3147"/>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1" t="s">
        <v>626</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4" t="s">
        <v>626</v>
      </c>
      <c r="D720" s="3145"/>
      <c r="E720" s="1244" t="s">
        <v>798</v>
      </c>
      <c r="F720" s="3152" t="s">
        <v>1820</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54" t="s">
        <v>626</v>
      </c>
      <c r="G723" s="3154"/>
      <c r="H723" s="3154"/>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44" t="s">
        <v>626</v>
      </c>
      <c r="D725" s="3145"/>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67"/>
      <c r="D727" s="3155"/>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68" t="s">
        <v>626</v>
      </c>
      <c r="H728" s="3168"/>
      <c r="I728" s="3168"/>
      <c r="J728" s="3168"/>
      <c r="K728" s="3168"/>
      <c r="L728" s="3168"/>
      <c r="M728" s="3168"/>
      <c r="N728" s="3168"/>
      <c r="O728" s="3168"/>
      <c r="P728" s="3168"/>
      <c r="Q728" s="3168"/>
      <c r="R728" s="3168"/>
      <c r="S728" s="3168"/>
      <c r="T728" s="3168"/>
      <c r="U728" s="3168"/>
      <c r="V728" s="3168"/>
      <c r="W728" s="3168"/>
      <c r="X728" s="3168"/>
      <c r="Y728" s="3168"/>
      <c r="Z728" s="3168"/>
      <c r="AA728" s="3168"/>
      <c r="AB728" s="3168"/>
      <c r="AC728" s="3168"/>
      <c r="AD728" s="3168"/>
      <c r="AE728" s="3168"/>
      <c r="AF728" s="316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69" t="s">
        <v>626</v>
      </c>
      <c r="D730" s="3170"/>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69" t="s">
        <v>626</v>
      </c>
      <c r="D734" s="3170"/>
      <c r="E734" s="1021"/>
      <c r="F734" s="1286" t="s">
        <v>1828</v>
      </c>
      <c r="G734" s="3171" t="s">
        <v>1829</v>
      </c>
      <c r="H734" s="3171"/>
      <c r="I734" s="3171"/>
      <c r="J734" s="3171"/>
      <c r="K734" s="3171"/>
      <c r="L734" s="3171"/>
      <c r="M734" s="3171"/>
      <c r="N734" s="3171"/>
      <c r="O734" s="3171"/>
      <c r="P734" s="3171"/>
      <c r="Q734" s="3171"/>
      <c r="R734" s="3171"/>
      <c r="S734" s="3171"/>
      <c r="T734" s="3171"/>
      <c r="U734" s="3171"/>
      <c r="V734" s="3171"/>
      <c r="W734" s="3171"/>
      <c r="X734" s="3171"/>
      <c r="Y734" s="3171"/>
      <c r="Z734" s="3171"/>
      <c r="AA734" s="3171"/>
      <c r="AB734" s="3171"/>
      <c r="AC734" s="3171"/>
      <c r="AD734" s="3171"/>
      <c r="AE734" s="3171"/>
      <c r="AF734" s="3171"/>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2"/>
      <c r="H735" s="3172"/>
      <c r="I735" s="3172"/>
      <c r="J735" s="3172"/>
      <c r="K735" s="3172"/>
      <c r="L735" s="3172"/>
      <c r="M735" s="3172"/>
      <c r="N735" s="3172"/>
      <c r="O735" s="3172"/>
      <c r="P735" s="3172"/>
      <c r="Q735" s="3172"/>
      <c r="R735" s="3172"/>
      <c r="S735" s="3172"/>
      <c r="T735" s="3172"/>
      <c r="U735" s="3172"/>
      <c r="V735" s="3172"/>
      <c r="W735" s="3172"/>
      <c r="X735" s="3172"/>
      <c r="Y735" s="3172"/>
      <c r="Z735" s="3172"/>
      <c r="AA735" s="3172"/>
      <c r="AB735" s="3172"/>
      <c r="AC735" s="3172"/>
      <c r="AD735" s="3172"/>
      <c r="AE735" s="3172"/>
      <c r="AF735" s="317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57" t="s">
        <v>626</v>
      </c>
      <c r="D738" s="3158"/>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59" t="s">
        <v>626</v>
      </c>
      <c r="G739" s="3159"/>
      <c r="H739" s="3159"/>
      <c r="I739" s="3159"/>
      <c r="J739" s="3159"/>
      <c r="K739" s="3159"/>
      <c r="L739" s="3159"/>
      <c r="M739" s="3159"/>
      <c r="N739" s="3159"/>
      <c r="O739" s="3159"/>
      <c r="P739" s="3159"/>
      <c r="Q739" s="3159"/>
      <c r="R739" s="3159"/>
      <c r="S739" s="3159"/>
      <c r="T739" s="3159"/>
      <c r="U739" s="3159"/>
      <c r="V739" s="3159"/>
      <c r="W739" s="3159"/>
      <c r="X739" s="3159"/>
      <c r="Y739" s="3159"/>
      <c r="Z739" s="3159"/>
      <c r="AA739" s="3159"/>
      <c r="AB739" s="3159"/>
      <c r="AC739" s="3159"/>
      <c r="AD739" s="3159"/>
      <c r="AE739" s="3159"/>
      <c r="AF739" s="3159"/>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0"/>
      <c r="G740" s="3160"/>
      <c r="H740" s="3160"/>
      <c r="I740" s="3160"/>
      <c r="J740" s="3160"/>
      <c r="K740" s="3160"/>
      <c r="L740" s="3160"/>
      <c r="M740" s="3160"/>
      <c r="N740" s="3160"/>
      <c r="O740" s="3160"/>
      <c r="P740" s="3160"/>
      <c r="Q740" s="3160"/>
      <c r="R740" s="3160"/>
      <c r="S740" s="3160"/>
      <c r="T740" s="3160"/>
      <c r="U740" s="3160"/>
      <c r="V740" s="3160"/>
      <c r="W740" s="3160"/>
      <c r="X740" s="3160"/>
      <c r="Y740" s="3160"/>
      <c r="Z740" s="3160"/>
      <c r="AA740" s="3160"/>
      <c r="AB740" s="3160"/>
      <c r="AC740" s="3160"/>
      <c r="AD740" s="3160"/>
      <c r="AE740" s="3160"/>
      <c r="AF740" s="3160"/>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78">
        <f>SUM(AG694:AG739)</f>
        <v>0</v>
      </c>
      <c r="AL750" s="3079"/>
      <c r="AM750" s="3080"/>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68" t="s">
        <v>1843</v>
      </c>
      <c r="AF753" s="3068"/>
      <c r="AG753" s="3068"/>
      <c r="AH753" s="3068"/>
      <c r="AI753" s="3068"/>
      <c r="AJ753" s="3068"/>
      <c r="AK753" s="3068"/>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5" t="s">
        <v>626</v>
      </c>
      <c r="D756" s="3075"/>
      <c r="E756" s="940"/>
      <c r="F756" s="3161" t="s">
        <v>1844</v>
      </c>
      <c r="G756" s="3162"/>
      <c r="H756" s="3162"/>
      <c r="I756" s="3162"/>
      <c r="J756" s="3162"/>
      <c r="K756" s="3162"/>
      <c r="L756" s="3162"/>
      <c r="M756" s="3162"/>
      <c r="N756" s="3162"/>
      <c r="O756" s="3162"/>
      <c r="P756" s="3162"/>
      <c r="Q756" s="3162"/>
      <c r="R756" s="3162"/>
      <c r="S756" s="3162"/>
      <c r="T756" s="3162"/>
      <c r="U756" s="3162"/>
      <c r="V756" s="3162"/>
      <c r="W756" s="3162"/>
      <c r="X756" s="3162"/>
      <c r="Y756" s="3162"/>
      <c r="Z756" s="3162"/>
      <c r="AA756" s="3162"/>
      <c r="AB756" s="3162"/>
      <c r="AC756" s="3162"/>
      <c r="AD756" s="3162"/>
      <c r="AE756" s="3162"/>
      <c r="AF756" s="3162"/>
      <c r="AG756" s="3162"/>
      <c r="AH756" s="3162"/>
      <c r="AI756" s="3162"/>
      <c r="AJ756" s="3162"/>
      <c r="AK756" s="3162"/>
      <c r="AL756" s="3163"/>
      <c r="AM756" s="1001"/>
      <c r="AN756" s="996"/>
    </row>
    <row r="757" spans="1:49" s="939" customFormat="1" ht="12.75" customHeight="1">
      <c r="A757" s="1008"/>
      <c r="B757" s="1008"/>
      <c r="C757" s="940"/>
      <c r="D757" s="940"/>
      <c r="E757" s="940"/>
      <c r="F757" s="3164"/>
      <c r="G757" s="3165"/>
      <c r="H757" s="3165"/>
      <c r="I757" s="3165"/>
      <c r="J757" s="3165"/>
      <c r="K757" s="3165"/>
      <c r="L757" s="3165"/>
      <c r="M757" s="3165"/>
      <c r="N757" s="3165"/>
      <c r="O757" s="3165"/>
      <c r="P757" s="3165"/>
      <c r="Q757" s="3165"/>
      <c r="R757" s="3165"/>
      <c r="S757" s="3165"/>
      <c r="T757" s="3165"/>
      <c r="U757" s="3165"/>
      <c r="V757" s="3165"/>
      <c r="W757" s="3165"/>
      <c r="X757" s="3165"/>
      <c r="Y757" s="3165"/>
      <c r="Z757" s="3165"/>
      <c r="AA757" s="3165"/>
      <c r="AB757" s="3165"/>
      <c r="AC757" s="3165"/>
      <c r="AD757" s="3165"/>
      <c r="AE757" s="3165"/>
      <c r="AF757" s="3165"/>
      <c r="AG757" s="3165"/>
      <c r="AH757" s="3165"/>
      <c r="AI757" s="3165"/>
      <c r="AJ757" s="3165"/>
      <c r="AK757" s="3165"/>
      <c r="AL757" s="3166"/>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5" t="s">
        <v>578</v>
      </c>
      <c r="D759" s="3075"/>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39" t="s">
        <v>1846</v>
      </c>
      <c r="G760" s="3240"/>
      <c r="H760" s="3240"/>
      <c r="I760" s="3240"/>
      <c r="J760" s="3240"/>
      <c r="K760" s="3240"/>
      <c r="L760" s="3240"/>
      <c r="M760" s="3240"/>
      <c r="N760" s="3240"/>
      <c r="O760" s="3240"/>
      <c r="P760" s="3240"/>
      <c r="Q760" s="3240"/>
      <c r="R760" s="3240"/>
      <c r="S760" s="3240"/>
      <c r="T760" s="3240"/>
      <c r="U760" s="3240"/>
      <c r="V760" s="3240"/>
      <c r="W760" s="3240"/>
      <c r="X760" s="3240"/>
      <c r="Y760" s="3240"/>
      <c r="Z760" s="3240"/>
      <c r="AA760" s="3240"/>
      <c r="AB760" s="3240"/>
      <c r="AC760" s="3240"/>
      <c r="AD760" s="3240"/>
      <c r="AE760" s="3240"/>
      <c r="AF760" s="3240"/>
      <c r="AG760" s="3240"/>
      <c r="AH760" s="3240"/>
      <c r="AI760" s="3240"/>
      <c r="AJ760" s="3240"/>
      <c r="AK760" s="3240"/>
      <c r="AL760" s="3241"/>
      <c r="AM760" s="1001"/>
      <c r="AN760" s="996"/>
      <c r="AS760" s="1432"/>
      <c r="AT760" s="1432"/>
      <c r="AU760" s="1432"/>
      <c r="AV760" s="1432"/>
      <c r="AW760" s="1432"/>
    </row>
    <row r="761" spans="1:49" s="939" customFormat="1" ht="12.75" customHeight="1">
      <c r="A761" s="1022"/>
      <c r="B761" s="1301"/>
      <c r="C761" s="1301"/>
      <c r="D761" s="1301"/>
      <c r="E761" s="1301"/>
      <c r="F761" s="3239"/>
      <c r="G761" s="3240"/>
      <c r="H761" s="3240"/>
      <c r="I761" s="3240"/>
      <c r="J761" s="3240"/>
      <c r="K761" s="3240"/>
      <c r="L761" s="3240"/>
      <c r="M761" s="3240"/>
      <c r="N761" s="3240"/>
      <c r="O761" s="3240"/>
      <c r="P761" s="3240"/>
      <c r="Q761" s="3240"/>
      <c r="R761" s="3240"/>
      <c r="S761" s="3240"/>
      <c r="T761" s="3240"/>
      <c r="U761" s="3240"/>
      <c r="V761" s="3240"/>
      <c r="W761" s="3240"/>
      <c r="X761" s="3240"/>
      <c r="Y761" s="3240"/>
      <c r="Z761" s="3240"/>
      <c r="AA761" s="3240"/>
      <c r="AB761" s="3240"/>
      <c r="AC761" s="3240"/>
      <c r="AD761" s="3240"/>
      <c r="AE761" s="3240"/>
      <c r="AF761" s="3240"/>
      <c r="AG761" s="3240"/>
      <c r="AH761" s="3240"/>
      <c r="AI761" s="3240"/>
      <c r="AJ761" s="3240"/>
      <c r="AK761" s="3240"/>
      <c r="AL761" s="3241"/>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39" t="s">
        <v>1848</v>
      </c>
      <c r="G763" s="3240"/>
      <c r="H763" s="3240"/>
      <c r="I763" s="3240"/>
      <c r="J763" s="3240"/>
      <c r="K763" s="3240"/>
      <c r="L763" s="3240"/>
      <c r="M763" s="3240"/>
      <c r="N763" s="3240"/>
      <c r="O763" s="3240"/>
      <c r="P763" s="3240"/>
      <c r="Q763" s="3240"/>
      <c r="R763" s="3240"/>
      <c r="S763" s="3240"/>
      <c r="T763" s="3240"/>
      <c r="U763" s="3240"/>
      <c r="V763" s="3240"/>
      <c r="W763" s="3240"/>
      <c r="X763" s="3240"/>
      <c r="Y763" s="3240"/>
      <c r="Z763" s="3240"/>
      <c r="AA763" s="3240"/>
      <c r="AB763" s="3240"/>
      <c r="AC763" s="3240"/>
      <c r="AD763" s="3240"/>
      <c r="AE763" s="3240"/>
      <c r="AF763" s="3240"/>
      <c r="AG763" s="3240"/>
      <c r="AH763" s="3240"/>
      <c r="AI763" s="3240"/>
      <c r="AJ763" s="3240"/>
      <c r="AK763" s="3240"/>
      <c r="AL763" s="1310"/>
      <c r="AM763" s="1001"/>
      <c r="AN763" s="996"/>
      <c r="AT763" s="1085"/>
      <c r="AU763" s="1085"/>
      <c r="AV763" s="1085"/>
    </row>
    <row r="764" spans="1:49" s="939" customFormat="1" ht="12.75" customHeight="1">
      <c r="A764" s="1022"/>
      <c r="B764" s="1301"/>
      <c r="C764" s="1301"/>
      <c r="D764" s="1301"/>
      <c r="E764" s="1301"/>
      <c r="F764" s="3242"/>
      <c r="G764" s="3243"/>
      <c r="H764" s="3243"/>
      <c r="I764" s="3243"/>
      <c r="J764" s="3243"/>
      <c r="K764" s="3243"/>
      <c r="L764" s="3243"/>
      <c r="M764" s="3243"/>
      <c r="N764" s="3243"/>
      <c r="O764" s="3243"/>
      <c r="P764" s="3243"/>
      <c r="Q764" s="3243"/>
      <c r="R764" s="3243"/>
      <c r="S764" s="3243"/>
      <c r="T764" s="3243"/>
      <c r="U764" s="3243"/>
      <c r="V764" s="3243"/>
      <c r="W764" s="3243"/>
      <c r="X764" s="3243"/>
      <c r="Y764" s="3243"/>
      <c r="Z764" s="3243"/>
      <c r="AA764" s="3243"/>
      <c r="AB764" s="3243"/>
      <c r="AC764" s="3243"/>
      <c r="AD764" s="3243"/>
      <c r="AE764" s="3243"/>
      <c r="AF764" s="3243"/>
      <c r="AG764" s="3243"/>
      <c r="AH764" s="3243"/>
      <c r="AI764" s="3243"/>
      <c r="AJ764" s="3243"/>
      <c r="AK764" s="3243"/>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2">
        <f>Application!AJ975</f>
        <v>110370227</v>
      </c>
      <c r="AQ765" s="3232"/>
      <c r="AR765" s="3232"/>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1">
        <f>'Sources and Uses Budget'!S107+'Sources and Uses Budget'!T107</f>
        <v>105976458</v>
      </c>
      <c r="AG766" s="3081"/>
      <c r="AH766" s="3081"/>
      <c r="AI766" s="3081"/>
      <c r="AJ766" s="3081"/>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4">
        <f>AP774</f>
        <v>168074843.09999999</v>
      </c>
      <c r="AG767" s="3244"/>
      <c r="AH767" s="3244"/>
      <c r="AI767" s="3244"/>
      <c r="AJ767" s="3244"/>
      <c r="AK767" s="1001"/>
      <c r="AL767" s="1001"/>
      <c r="AM767" s="1001"/>
      <c r="AN767" s="996"/>
      <c r="AP767" s="3232">
        <f>Application!AJ1024</f>
        <v>11037022.700000001</v>
      </c>
      <c r="AQ767" s="3232"/>
      <c r="AR767" s="3232"/>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45">
        <f>ROUNDDOWN(IF(C759="YES",((1-(AF766/AF767))*2),(1-(AF766/AF767))),2)</f>
        <v>0.73</v>
      </c>
      <c r="AG768" s="3245"/>
      <c r="AH768" s="3245"/>
      <c r="AI768" s="3245"/>
      <c r="AJ768" s="3245"/>
      <c r="AK768" s="1001"/>
      <c r="AL768" s="1001"/>
      <c r="AM768" s="1001"/>
      <c r="AN768" s="996"/>
      <c r="AP768" s="3236">
        <f>Application!AJ1028</f>
        <v>22074045.400000002</v>
      </c>
      <c r="AQ768" s="3236"/>
      <c r="AR768" s="3236"/>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1">
        <f>IF(((AP767+AP768)/AP765)&gt;0.8,0.8,((AP767+AP768)/AP765))</f>
        <v>0.3</v>
      </c>
      <c r="AQ769" s="3231"/>
      <c r="AR769" s="3231"/>
    </row>
    <row r="770" spans="1:44" s="939" customFormat="1" ht="12.75" customHeight="1">
      <c r="A770" s="1044"/>
      <c r="B770" s="3180" t="s">
        <v>1851</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1"/>
      <c r="AL770" s="1001"/>
      <c r="AM770" s="1001"/>
      <c r="AN770" s="996"/>
    </row>
    <row r="771" spans="1:44" s="939" customFormat="1" ht="12.75" customHeight="1">
      <c r="A771" s="1044"/>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1"/>
      <c r="AL771" s="1001"/>
      <c r="AM771" s="1001"/>
      <c r="AN771" s="996"/>
      <c r="AP771" s="3232">
        <f>AP772-AP767-AP768</f>
        <v>134963775</v>
      </c>
      <c r="AQ771" s="3233"/>
      <c r="AR771" s="3233"/>
    </row>
    <row r="772" spans="1:44" s="939" customFormat="1" ht="12.75" customHeight="1">
      <c r="A772" s="1044"/>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1"/>
      <c r="AL772" s="1001"/>
      <c r="AM772" s="1001"/>
      <c r="AN772" s="996"/>
      <c r="AP772" s="3232">
        <f>Application!AJ1032</f>
        <v>168074843.09999999</v>
      </c>
      <c r="AQ772" s="3232"/>
      <c r="AR772" s="3232"/>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89">
        <f>IF(AF768=0,0,IF((AF768*100)&gt;12,12,(AF768*100)))</f>
        <v>12</v>
      </c>
      <c r="AL774" s="3189"/>
      <c r="AM774" s="3190"/>
      <c r="AN774" s="996"/>
      <c r="AP774" s="3255">
        <f>AP771+(AP765*AP769)</f>
        <v>168074843.09999999</v>
      </c>
      <c r="AQ774" s="3256"/>
      <c r="AR774" s="3257"/>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1" t="s">
        <v>1853</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194"/>
      <c r="B780" s="3194"/>
      <c r="C780" s="3194"/>
      <c r="D780" s="3194"/>
      <c r="E780" s="3194"/>
      <c r="F780" s="3194"/>
      <c r="G780" s="3194"/>
      <c r="H780" s="3194"/>
      <c r="I780" s="3194"/>
      <c r="J780" s="3194"/>
      <c r="K780" s="3194"/>
      <c r="L780" s="3194"/>
      <c r="M780" s="3194"/>
      <c r="N780" s="3194"/>
      <c r="O780" s="3194"/>
      <c r="P780" s="3194"/>
      <c r="Q780" s="3194"/>
      <c r="R780" s="3194"/>
      <c r="S780" s="3194"/>
      <c r="T780" s="3194"/>
      <c r="U780" s="3194"/>
      <c r="V780" s="3194"/>
      <c r="W780" s="3194"/>
      <c r="X780" s="3194"/>
      <c r="Y780" s="3194"/>
      <c r="Z780" s="3194"/>
      <c r="AA780" s="3194"/>
      <c r="AB780" s="3194"/>
      <c r="AC780" s="3194"/>
      <c r="AD780" s="3194"/>
      <c r="AE780" s="3194"/>
      <c r="AF780" s="3194"/>
      <c r="AG780" s="3194"/>
      <c r="AH780" s="3194"/>
      <c r="AI780" s="3194"/>
      <c r="AJ780" s="3194"/>
      <c r="AK780" s="3194"/>
      <c r="AL780" s="3194"/>
      <c r="AM780" s="3194"/>
      <c r="AO780" s="1223"/>
      <c r="AP780" s="1316"/>
      <c r="AQ780" s="1315"/>
    </row>
    <row r="781" spans="1:44" ht="13.1">
      <c r="A781" s="3194"/>
      <c r="B781" s="3194"/>
      <c r="C781" s="3194"/>
      <c r="D781" s="3194"/>
      <c r="E781" s="3194"/>
      <c r="F781" s="3194"/>
      <c r="G781" s="3194"/>
      <c r="H781" s="3194"/>
      <c r="I781" s="3194"/>
      <c r="J781" s="3194"/>
      <c r="K781" s="3194"/>
      <c r="L781" s="3194"/>
      <c r="M781" s="3194"/>
      <c r="N781" s="3194"/>
      <c r="O781" s="3194"/>
      <c r="P781" s="3194"/>
      <c r="Q781" s="3194"/>
      <c r="R781" s="3194"/>
      <c r="S781" s="3194"/>
      <c r="T781" s="3194"/>
      <c r="U781" s="3194"/>
      <c r="V781" s="3194"/>
      <c r="W781" s="3194"/>
      <c r="X781" s="3194"/>
      <c r="Y781" s="3194"/>
      <c r="Z781" s="3194"/>
      <c r="AA781" s="3194"/>
      <c r="AB781" s="3194"/>
      <c r="AC781" s="3194"/>
      <c r="AD781" s="3194"/>
      <c r="AE781" s="3194"/>
      <c r="AF781" s="3194"/>
      <c r="AG781" s="3194"/>
      <c r="AH781" s="3194"/>
      <c r="AI781" s="3194"/>
      <c r="AJ781" s="3194"/>
      <c r="AK781" s="3194"/>
      <c r="AL781" s="3194"/>
      <c r="AM781" s="3194"/>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195" t="s">
        <v>1854</v>
      </c>
      <c r="U782" s="3196"/>
      <c r="V782" s="3196"/>
      <c r="W782" s="3196"/>
      <c r="X782" s="3196"/>
      <c r="Y782" s="3197"/>
      <c r="Z782" s="3195" t="s">
        <v>1855</v>
      </c>
      <c r="AA782" s="3196"/>
      <c r="AB782" s="3196"/>
      <c r="AC782" s="3196"/>
      <c r="AD782" s="3196"/>
      <c r="AE782" s="3197"/>
      <c r="AF782" s="3195" t="s">
        <v>1856</v>
      </c>
      <c r="AG782" s="3196"/>
      <c r="AH782" s="3196"/>
      <c r="AI782" s="3196"/>
      <c r="AJ782" s="3196"/>
      <c r="AK782" s="3197"/>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198"/>
      <c r="U783" s="3199"/>
      <c r="V783" s="3199"/>
      <c r="W783" s="3199"/>
      <c r="X783" s="3199"/>
      <c r="Y783" s="3200"/>
      <c r="Z783" s="3198"/>
      <c r="AA783" s="3199"/>
      <c r="AB783" s="3199"/>
      <c r="AC783" s="3199"/>
      <c r="AD783" s="3199"/>
      <c r="AE783" s="3200"/>
      <c r="AF783" s="3198"/>
      <c r="AG783" s="3199"/>
      <c r="AH783" s="3199"/>
      <c r="AI783" s="3199"/>
      <c r="AJ783" s="3199"/>
      <c r="AK783" s="3200"/>
      <c r="AL783" s="1318"/>
      <c r="AM783" s="1212"/>
      <c r="AO783" s="1316"/>
      <c r="AP783" s="1315"/>
      <c r="AQ783" s="1315"/>
    </row>
    <row r="784" spans="1:44" ht="13.1">
      <c r="A784" s="1319" t="s">
        <v>798</v>
      </c>
      <c r="B784" s="3173" t="s">
        <v>1554</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318"/>
      <c r="AM784" s="1212"/>
      <c r="AO784" s="1315"/>
      <c r="AP784" s="1315"/>
      <c r="AQ784" s="1315"/>
    </row>
    <row r="785" spans="1:81" ht="13.1">
      <c r="A785" s="1319" t="s">
        <v>1822</v>
      </c>
      <c r="B785" s="3173" t="s">
        <v>1575</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318"/>
      <c r="AM785" s="1212"/>
      <c r="AO785" s="1315"/>
      <c r="AP785" s="1315"/>
      <c r="AQ785" s="1315"/>
    </row>
    <row r="786" spans="1:81" ht="13.1">
      <c r="A786" s="1319" t="s">
        <v>1831</v>
      </c>
      <c r="B786" s="3173" t="s">
        <v>1585</v>
      </c>
      <c r="C786" s="3173"/>
      <c r="D786" s="3173"/>
      <c r="E786" s="3173"/>
      <c r="F786" s="3173"/>
      <c r="G786" s="3173"/>
      <c r="H786" s="3173"/>
      <c r="I786" s="3173"/>
      <c r="J786" s="3173"/>
      <c r="K786" s="3173"/>
      <c r="L786" s="3173"/>
      <c r="M786" s="3173"/>
      <c r="N786" s="3173"/>
      <c r="O786" s="3173"/>
      <c r="P786" s="3173"/>
      <c r="Q786" s="3173"/>
      <c r="R786" s="3173"/>
      <c r="S786" s="3174"/>
      <c r="T786" s="3175">
        <f ca="1">AK97</f>
        <v>20</v>
      </c>
      <c r="U786" s="3176"/>
      <c r="V786" s="3176"/>
      <c r="W786" s="3176"/>
      <c r="X786" s="3176"/>
      <c r="Y786" s="3177"/>
      <c r="Z786" s="3178">
        <v>20</v>
      </c>
      <c r="AA786" s="3176"/>
      <c r="AB786" s="3176"/>
      <c r="AC786" s="3176"/>
      <c r="AD786" s="3176"/>
      <c r="AE786" s="3177"/>
      <c r="AF786" s="3179">
        <f ca="1">IF(T786&gt;Z786,Z786,T786)</f>
        <v>20</v>
      </c>
      <c r="AG786" s="3179"/>
      <c r="AH786" s="3179"/>
      <c r="AI786" s="3179"/>
      <c r="AJ786" s="3179"/>
      <c r="AK786" s="3179"/>
      <c r="AL786" s="1318"/>
      <c r="AM786" s="1212"/>
      <c r="AO786" s="1315"/>
      <c r="AP786" s="1315"/>
      <c r="AQ786" s="1315"/>
    </row>
    <row r="787" spans="1:81" ht="13.1">
      <c r="A787" s="1319" t="s">
        <v>1857</v>
      </c>
      <c r="B787" s="3173" t="s">
        <v>1595</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18"/>
      <c r="AM787" s="1212"/>
      <c r="AO787" s="1315"/>
      <c r="AP787" s="1315"/>
      <c r="AQ787" s="1315"/>
    </row>
    <row r="788" spans="1:81" ht="13.1">
      <c r="A788" s="1321" t="s">
        <v>1858</v>
      </c>
      <c r="B788" s="3173" t="s">
        <v>1859</v>
      </c>
      <c r="C788" s="3173"/>
      <c r="D788" s="3173"/>
      <c r="E788" s="3173"/>
      <c r="F788" s="3173"/>
      <c r="G788" s="3173"/>
      <c r="H788" s="3173"/>
      <c r="I788" s="3173"/>
      <c r="J788" s="3173"/>
      <c r="K788" s="3173"/>
      <c r="L788" s="3173"/>
      <c r="M788" s="3173"/>
      <c r="N788" s="3173"/>
      <c r="O788" s="3173"/>
      <c r="P788" s="3173"/>
      <c r="Q788" s="3173"/>
      <c r="R788" s="3173"/>
      <c r="S788" s="3174"/>
      <c r="T788" s="3201">
        <f>SUM(T789:Y790)</f>
        <v>10</v>
      </c>
      <c r="U788" s="3201"/>
      <c r="V788" s="3201"/>
      <c r="W788" s="3201"/>
      <c r="X788" s="3201"/>
      <c r="Y788" s="3201"/>
      <c r="Z788" s="3179">
        <v>10</v>
      </c>
      <c r="AA788" s="3179"/>
      <c r="AB788" s="3179"/>
      <c r="AC788" s="3179"/>
      <c r="AD788" s="3179"/>
      <c r="AE788" s="3179"/>
      <c r="AF788" s="3179">
        <f>IF(T788&gt;Z788,Z788,T788)</f>
        <v>10</v>
      </c>
      <c r="AG788" s="3179"/>
      <c r="AH788" s="3179"/>
      <c r="AI788" s="3179"/>
      <c r="AJ788" s="3179"/>
      <c r="AK788" s="3179"/>
      <c r="AL788" s="1318"/>
      <c r="AM788" s="1212"/>
    </row>
    <row r="789" spans="1:81" ht="13.1">
      <c r="A789" s="922"/>
      <c r="B789" s="1005"/>
      <c r="C789" s="3202" t="s">
        <v>1860</v>
      </c>
      <c r="D789" s="3202"/>
      <c r="E789" s="3202"/>
      <c r="F789" s="3202"/>
      <c r="G789" s="3202"/>
      <c r="H789" s="3202"/>
      <c r="I789" s="3202"/>
      <c r="J789" s="3202"/>
      <c r="K789" s="3202"/>
      <c r="L789" s="3202"/>
      <c r="M789" s="3202"/>
      <c r="N789" s="3202"/>
      <c r="O789" s="3202"/>
      <c r="P789" s="3202"/>
      <c r="Q789" s="3202"/>
      <c r="R789" s="3202"/>
      <c r="S789" s="3203"/>
      <c r="T789" s="3073">
        <f>AJ149</f>
        <v>7</v>
      </c>
      <c r="U789" s="3073"/>
      <c r="V789" s="3073"/>
      <c r="W789" s="3073"/>
      <c r="X789" s="3073"/>
      <c r="Y789" s="3073"/>
      <c r="Z789" s="3204">
        <v>7</v>
      </c>
      <c r="AA789" s="3204"/>
      <c r="AB789" s="3204"/>
      <c r="AC789" s="3204"/>
      <c r="AD789" s="3204"/>
      <c r="AE789" s="3204"/>
      <c r="AF789" s="3205"/>
      <c r="AG789" s="3205"/>
      <c r="AH789" s="3205"/>
      <c r="AI789" s="3205"/>
      <c r="AJ789" s="3205"/>
      <c r="AK789" s="3205"/>
      <c r="AL789" s="1318"/>
      <c r="AM789" s="1212"/>
    </row>
    <row r="790" spans="1:81" ht="13.1">
      <c r="A790" s="1322"/>
      <c r="B790" s="1005"/>
      <c r="C790" s="3202" t="s">
        <v>1861</v>
      </c>
      <c r="D790" s="3202"/>
      <c r="E790" s="3202"/>
      <c r="F790" s="3202"/>
      <c r="G790" s="3202"/>
      <c r="H790" s="3202"/>
      <c r="I790" s="3202"/>
      <c r="J790" s="3202"/>
      <c r="K790" s="3202"/>
      <c r="L790" s="3202"/>
      <c r="M790" s="3202"/>
      <c r="N790" s="3202"/>
      <c r="O790" s="3202"/>
      <c r="P790" s="3202"/>
      <c r="Q790" s="3202"/>
      <c r="R790" s="3202"/>
      <c r="S790" s="3203"/>
      <c r="T790" s="3073">
        <f>AJ163</f>
        <v>3</v>
      </c>
      <c r="U790" s="3073"/>
      <c r="V790" s="3073"/>
      <c r="W790" s="3073"/>
      <c r="X790" s="3073"/>
      <c r="Y790" s="3073"/>
      <c r="Z790" s="3204">
        <v>3</v>
      </c>
      <c r="AA790" s="3204"/>
      <c r="AB790" s="3204"/>
      <c r="AC790" s="3204"/>
      <c r="AD790" s="3204"/>
      <c r="AE790" s="3204"/>
      <c r="AF790" s="3205"/>
      <c r="AG790" s="3205"/>
      <c r="AH790" s="3205"/>
      <c r="AI790" s="3205"/>
      <c r="AJ790" s="3205"/>
      <c r="AK790" s="3205"/>
      <c r="AL790" s="1318"/>
      <c r="AM790" s="1212"/>
      <c r="AO790" s="939"/>
    </row>
    <row r="791" spans="1:81" ht="13.1">
      <c r="A791" s="1321" t="s">
        <v>1623</v>
      </c>
      <c r="B791" s="3173" t="s">
        <v>1862</v>
      </c>
      <c r="C791" s="3173"/>
      <c r="D791" s="3173"/>
      <c r="E791" s="3173"/>
      <c r="F791" s="3173"/>
      <c r="G791" s="3173"/>
      <c r="H791" s="3173"/>
      <c r="I791" s="3173"/>
      <c r="J791" s="3173"/>
      <c r="K791" s="3173"/>
      <c r="L791" s="3173"/>
      <c r="M791" s="3173"/>
      <c r="N791" s="3173"/>
      <c r="O791" s="3173"/>
      <c r="P791" s="3173"/>
      <c r="Q791" s="3173"/>
      <c r="R791" s="3173"/>
      <c r="S791" s="3174"/>
      <c r="T791" s="3201">
        <f>AK174</f>
        <v>10</v>
      </c>
      <c r="U791" s="3201"/>
      <c r="V791" s="3201"/>
      <c r="W791" s="3201"/>
      <c r="X791" s="3201"/>
      <c r="Y791" s="3201"/>
      <c r="Z791" s="3179">
        <v>10</v>
      </c>
      <c r="AA791" s="3179"/>
      <c r="AB791" s="3179"/>
      <c r="AC791" s="3179"/>
      <c r="AD791" s="3179"/>
      <c r="AE791" s="3179"/>
      <c r="AF791" s="3179">
        <f>IF(T791&gt;Z791,Z791,T791)</f>
        <v>10</v>
      </c>
      <c r="AG791" s="3179"/>
      <c r="AH791" s="3179"/>
      <c r="AI791" s="3179"/>
      <c r="AJ791" s="3179"/>
      <c r="AK791" s="3179"/>
      <c r="AL791" s="1318"/>
      <c r="AM791" s="1212"/>
    </row>
    <row r="792" spans="1:81" ht="13.1">
      <c r="A792" s="1319" t="s">
        <v>1632</v>
      </c>
      <c r="B792" s="3173" t="s">
        <v>1633</v>
      </c>
      <c r="C792" s="3173"/>
      <c r="D792" s="3173"/>
      <c r="E792" s="3173"/>
      <c r="F792" s="3173"/>
      <c r="G792" s="3173"/>
      <c r="H792" s="3173"/>
      <c r="I792" s="3173"/>
      <c r="J792" s="3173"/>
      <c r="K792" s="3173"/>
      <c r="L792" s="3173"/>
      <c r="M792" s="3173"/>
      <c r="N792" s="3173"/>
      <c r="O792" s="3173"/>
      <c r="P792" s="3173"/>
      <c r="Q792" s="3173"/>
      <c r="R792" s="3173"/>
      <c r="S792" s="3174"/>
      <c r="T792" s="3201">
        <f>AK256</f>
        <v>8</v>
      </c>
      <c r="U792" s="3201"/>
      <c r="V792" s="3201"/>
      <c r="W792" s="3201"/>
      <c r="X792" s="3201"/>
      <c r="Y792" s="3201"/>
      <c r="Z792" s="3178">
        <v>8</v>
      </c>
      <c r="AA792" s="3176"/>
      <c r="AB792" s="3176"/>
      <c r="AC792" s="3176"/>
      <c r="AD792" s="3176"/>
      <c r="AE792" s="3177"/>
      <c r="AF792" s="3179">
        <f>IF(T792&gt;Z792,Z792,T792)</f>
        <v>8</v>
      </c>
      <c r="AG792" s="3179"/>
      <c r="AH792" s="3179"/>
      <c r="AI792" s="3179"/>
      <c r="AJ792" s="3179"/>
      <c r="AK792" s="3179"/>
      <c r="AL792" s="1318"/>
      <c r="AM792" s="1212"/>
    </row>
    <row r="793" spans="1:81" s="921" customFormat="1" ht="13.1" hidden="1">
      <c r="A793" s="1321" t="s">
        <v>624</v>
      </c>
      <c r="B793" s="3173" t="s">
        <v>1863</v>
      </c>
      <c r="C793" s="3173"/>
      <c r="D793" s="3173"/>
      <c r="E793" s="3173"/>
      <c r="F793" s="3173"/>
      <c r="G793" s="3173"/>
      <c r="H793" s="3173"/>
      <c r="I793" s="3173"/>
      <c r="J793" s="3173"/>
      <c r="K793" s="3173"/>
      <c r="L793" s="3173"/>
      <c r="M793" s="3173"/>
      <c r="N793" s="3173"/>
      <c r="O793" s="3173"/>
      <c r="P793" s="3173"/>
      <c r="Q793" s="3173"/>
      <c r="R793" s="3173"/>
      <c r="S793" s="3174"/>
      <c r="T793" s="3201">
        <f>IF(AK750&gt;5,5,AK750)</f>
        <v>0</v>
      </c>
      <c r="U793" s="3201"/>
      <c r="V793" s="3201"/>
      <c r="W793" s="3201"/>
      <c r="X793" s="3201"/>
      <c r="Y793" s="3201"/>
      <c r="Z793" s="3179">
        <v>5</v>
      </c>
      <c r="AA793" s="3179"/>
      <c r="AB793" s="3179"/>
      <c r="AC793" s="3179"/>
      <c r="AD793" s="3179"/>
      <c r="AE793" s="3179"/>
      <c r="AF793" s="3179">
        <f>IF(T793&gt;Z793,5,T793)</f>
        <v>0</v>
      </c>
      <c r="AG793" s="3179"/>
      <c r="AH793" s="3179"/>
      <c r="AI793" s="3179"/>
      <c r="AJ793" s="3179"/>
      <c r="AK793" s="317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1638</v>
      </c>
      <c r="B794" s="3173" t="s">
        <v>1864</v>
      </c>
      <c r="C794" s="3173"/>
      <c r="D794" s="3173"/>
      <c r="E794" s="3173"/>
      <c r="F794" s="3173"/>
      <c r="G794" s="3173"/>
      <c r="H794" s="3173"/>
      <c r="I794" s="3173"/>
      <c r="J794" s="3173"/>
      <c r="K794" s="3173"/>
      <c r="L794" s="3173"/>
      <c r="M794" s="3173"/>
      <c r="N794" s="3173"/>
      <c r="O794" s="3173"/>
      <c r="P794" s="3173"/>
      <c r="Q794" s="3173"/>
      <c r="R794" s="3173"/>
      <c r="S794" s="3174"/>
      <c r="T794" s="3201">
        <f>AK267</f>
        <v>10</v>
      </c>
      <c r="U794" s="3201"/>
      <c r="V794" s="3201"/>
      <c r="W794" s="3201"/>
      <c r="X794" s="3201"/>
      <c r="Y794" s="3201"/>
      <c r="Z794" s="3179">
        <v>10</v>
      </c>
      <c r="AA794" s="3179"/>
      <c r="AB794" s="3179"/>
      <c r="AC794" s="3179"/>
      <c r="AD794" s="3179"/>
      <c r="AE794" s="3179"/>
      <c r="AF794" s="3208">
        <f>IF(T794&gt;Z794,Z794,T794)</f>
        <v>10</v>
      </c>
      <c r="AG794" s="3209"/>
      <c r="AH794" s="3209"/>
      <c r="AI794" s="3209"/>
      <c r="AJ794" s="3209"/>
      <c r="AK794" s="3210"/>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1642</v>
      </c>
      <c r="B795" s="3173" t="s">
        <v>1643</v>
      </c>
      <c r="C795" s="3173"/>
      <c r="D795" s="3173"/>
      <c r="E795" s="3173"/>
      <c r="F795" s="3173"/>
      <c r="G795" s="3173"/>
      <c r="H795" s="3173"/>
      <c r="I795" s="3173"/>
      <c r="J795" s="3173"/>
      <c r="K795" s="3173"/>
      <c r="L795" s="3173"/>
      <c r="M795" s="3173"/>
      <c r="N795" s="3173"/>
      <c r="O795" s="3173"/>
      <c r="P795" s="3173"/>
      <c r="Q795" s="3173"/>
      <c r="R795" s="3173"/>
      <c r="S795" s="3174"/>
      <c r="T795" s="3201">
        <f>AK553</f>
        <v>20</v>
      </c>
      <c r="U795" s="3201"/>
      <c r="V795" s="3201"/>
      <c r="W795" s="3201"/>
      <c r="X795" s="3201"/>
      <c r="Y795" s="3201"/>
      <c r="Z795" s="3208">
        <v>20</v>
      </c>
      <c r="AA795" s="3209"/>
      <c r="AB795" s="3209"/>
      <c r="AC795" s="3209"/>
      <c r="AD795" s="3209"/>
      <c r="AE795" s="3210"/>
      <c r="AF795" s="3208">
        <f>IF(T795&gt;Z795,Z795,T795)</f>
        <v>20</v>
      </c>
      <c r="AG795" s="3223"/>
      <c r="AH795" s="3223"/>
      <c r="AI795" s="3223"/>
      <c r="AJ795" s="3223"/>
      <c r="AK795" s="3224"/>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73">
        <f>AK320</f>
        <v>20</v>
      </c>
      <c r="U796" s="3073"/>
      <c r="V796" s="3073"/>
      <c r="W796" s="3073"/>
      <c r="X796" s="3073"/>
      <c r="Y796" s="3073"/>
      <c r="Z796" s="3078">
        <v>20</v>
      </c>
      <c r="AA796" s="3079"/>
      <c r="AB796" s="3079"/>
      <c r="AC796" s="3079"/>
      <c r="AD796" s="3079"/>
      <c r="AE796" s="3080"/>
      <c r="AF796" s="3205"/>
      <c r="AG796" s="3205"/>
      <c r="AH796" s="3205"/>
      <c r="AI796" s="3205"/>
      <c r="AJ796" s="3205"/>
      <c r="AK796" s="3205"/>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73">
        <f>AK551</f>
        <v>0</v>
      </c>
      <c r="U797" s="3073"/>
      <c r="V797" s="3073"/>
      <c r="W797" s="3073"/>
      <c r="X797" s="3073"/>
      <c r="Y797" s="3073"/>
      <c r="Z797" s="3078">
        <v>10</v>
      </c>
      <c r="AA797" s="3079"/>
      <c r="AB797" s="3079"/>
      <c r="AC797" s="3079"/>
      <c r="AD797" s="3079"/>
      <c r="AE797" s="3080"/>
      <c r="AF797" s="3205"/>
      <c r="AG797" s="3205"/>
      <c r="AH797" s="3205"/>
      <c r="AI797" s="3205"/>
      <c r="AJ797" s="3205"/>
      <c r="AK797" s="3205"/>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1728</v>
      </c>
      <c r="B798" s="3173" t="s">
        <v>908</v>
      </c>
      <c r="C798" s="3173"/>
      <c r="D798" s="3173"/>
      <c r="E798" s="3173"/>
      <c r="F798" s="3173"/>
      <c r="G798" s="3173"/>
      <c r="H798" s="3173"/>
      <c r="I798" s="3173"/>
      <c r="J798" s="3173"/>
      <c r="K798" s="3173"/>
      <c r="L798" s="3173"/>
      <c r="M798" s="3173"/>
      <c r="N798" s="3173"/>
      <c r="O798" s="3173"/>
      <c r="P798" s="3173"/>
      <c r="Q798" s="3173"/>
      <c r="R798" s="3173"/>
      <c r="S798" s="3174"/>
      <c r="T798" s="3201">
        <f>AK684</f>
        <v>10</v>
      </c>
      <c r="U798" s="3201"/>
      <c r="V798" s="3201"/>
      <c r="W798" s="3201"/>
      <c r="X798" s="3201"/>
      <c r="Y798" s="3201"/>
      <c r="Z798" s="3208">
        <v>10</v>
      </c>
      <c r="AA798" s="3209"/>
      <c r="AB798" s="3209"/>
      <c r="AC798" s="3209"/>
      <c r="AD798" s="3209"/>
      <c r="AE798" s="3210"/>
      <c r="AF798" s="3179">
        <f>IF(T798&gt;Z798,Z798,T798)</f>
        <v>10</v>
      </c>
      <c r="AG798" s="3179"/>
      <c r="AH798" s="3179"/>
      <c r="AI798" s="3179"/>
      <c r="AJ798" s="3179"/>
      <c r="AK798" s="317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1841</v>
      </c>
      <c r="B799" s="3173" t="s">
        <v>1842</v>
      </c>
      <c r="C799" s="3173"/>
      <c r="D799" s="3173"/>
      <c r="E799" s="3173"/>
      <c r="F799" s="3173"/>
      <c r="G799" s="3173"/>
      <c r="H799" s="3173"/>
      <c r="I799" s="3173"/>
      <c r="J799" s="3173"/>
      <c r="K799" s="3173"/>
      <c r="L799" s="3173"/>
      <c r="M799" s="3173"/>
      <c r="N799" s="3173"/>
      <c r="O799" s="3173"/>
      <c r="P799" s="3173"/>
      <c r="Q799" s="3173"/>
      <c r="R799" s="3173"/>
      <c r="S799" s="3174"/>
      <c r="T799" s="3201">
        <f>AK774</f>
        <v>12</v>
      </c>
      <c r="U799" s="3201"/>
      <c r="V799" s="3201"/>
      <c r="W799" s="3201"/>
      <c r="X799" s="3201"/>
      <c r="Y799" s="3201"/>
      <c r="Z799" s="3208">
        <v>12</v>
      </c>
      <c r="AA799" s="3209"/>
      <c r="AB799" s="3209"/>
      <c r="AC799" s="3209"/>
      <c r="AD799" s="3209"/>
      <c r="AE799" s="3210"/>
      <c r="AF799" s="3179">
        <f>IF(T799&gt;Z799,Z799,T799)</f>
        <v>12</v>
      </c>
      <c r="AG799" s="3179"/>
      <c r="AH799" s="3179"/>
      <c r="AI799" s="3179"/>
      <c r="AJ799" s="3179"/>
      <c r="AK799" s="317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206" t="s">
        <v>1867</v>
      </c>
      <c r="B800" s="3173"/>
      <c r="C800" s="3173"/>
      <c r="D800" s="3173"/>
      <c r="E800" s="3173"/>
      <c r="F800" s="3173"/>
      <c r="G800" s="3173"/>
      <c r="H800" s="3173"/>
      <c r="I800" s="3173"/>
      <c r="J800" s="3173"/>
      <c r="K800" s="3173"/>
      <c r="L800" s="3173"/>
      <c r="M800" s="3173"/>
      <c r="N800" s="3173"/>
      <c r="O800" s="3173"/>
      <c r="P800" s="3173"/>
      <c r="Q800" s="3173"/>
      <c r="R800" s="3173"/>
      <c r="S800" s="3174"/>
      <c r="T800" s="3207"/>
      <c r="U800" s="3207"/>
      <c r="V800" s="3207"/>
      <c r="W800" s="3207"/>
      <c r="X800" s="3207"/>
      <c r="Y800" s="3207"/>
      <c r="Z800" s="3204" t="s">
        <v>1868</v>
      </c>
      <c r="AA800" s="3204"/>
      <c r="AB800" s="3204"/>
      <c r="AC800" s="3204"/>
      <c r="AD800" s="3204"/>
      <c r="AE800" s="3204"/>
      <c r="AF800" s="3208">
        <f>IF(T800&gt;0,T800,0)</f>
        <v>0</v>
      </c>
      <c r="AG800" s="3209"/>
      <c r="AH800" s="3209"/>
      <c r="AI800" s="3209"/>
      <c r="AJ800" s="3209"/>
      <c r="AK800" s="3210"/>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211" t="s">
        <v>1869</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 ca="1">SUM(AF784:AK799)-AF800</f>
        <v>120</v>
      </c>
      <c r="AG801" s="3218"/>
      <c r="AH801" s="3218"/>
      <c r="AI801" s="3218"/>
      <c r="AJ801" s="3218"/>
      <c r="AK801" s="3219"/>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2022-03-12T16:33:00Z</cp:lastPrinted>
  <dcterms:created xsi:type="dcterms:W3CDTF">2007-12-27T18:26:28Z</dcterms:created>
  <dcterms:modified xsi:type="dcterms:W3CDTF">2022-03-12T16:33:27Z</dcterms:modified>
</cp:coreProperties>
</file>